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S:\Insurance\corporate changes\PLAN DATA\2024.03.01 - ALCOA\Internal Notification\"/>
    </mc:Choice>
  </mc:AlternateContent>
  <xr:revisionPtr revIDLastSave="0" documentId="13_ncr:1_{0057003A-6CD5-4509-A306-4A8237F6E81B}" xr6:coauthVersionLast="47" xr6:coauthVersionMax="47" xr10:uidLastSave="{00000000-0000-0000-0000-000000000000}"/>
  <workbookProtection workbookAlgorithmName="SHA-512" workbookHashValue="nKhyNSXGdqY+G3xyYKDcaIXMWZV+s5OYJz0cFrNoORnQHH60iAvtEUR8qSE9FPTNgLXNSmjdh094E6QszljvIQ==" workbookSaltValue="qy9ziVzCj9nCXZnm4DQR2g==" workbookSpinCount="100000" lockStructure="1"/>
  <bookViews>
    <workbookView xWindow="-110" yWindow="-110" windowWidth="19420" windowHeight="10300" tabRatio="898" xr2:uid="{00000000-000D-0000-FFFF-FFFF00000000}"/>
  </bookViews>
  <sheets>
    <sheet name="Insurance Calculator" sheetId="4" r:id="rId1"/>
    <sheet name="Variables" sheetId="10" state="hidden" r:id="rId2"/>
    <sheet name="D&amp;TPD-Rates" sheetId="7" state="hidden" r:id="rId3"/>
    <sheet name="IP-rates" sheetId="6" state="hidden" r:id="rId4"/>
    <sheet name="Checklist" sheetId="8" state="hidden" r:id="rId5"/>
  </sheets>
  <definedNames>
    <definedName name="Casual">Variables!$H$11</definedName>
    <definedName name="Employmenttype">Variables!$E$11:$E$12</definedName>
    <definedName name="Permanent">Variables!$F$11:$F$13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0" l="1"/>
  <c r="L7" i="10" s="1"/>
  <c r="B10" i="10"/>
  <c r="D15" i="10" s="1"/>
  <c r="B9" i="10"/>
  <c r="B8" i="10"/>
  <c r="L5" i="10"/>
  <c r="D2" i="10"/>
  <c r="D9" i="4" l="1"/>
  <c r="C1" i="4"/>
  <c r="B11" i="10" l="1"/>
  <c r="B13" i="10"/>
  <c r="C18" i="4"/>
  <c r="D28" i="4" l="1"/>
  <c r="C27" i="4"/>
  <c r="C26" i="4"/>
  <c r="C2" i="4"/>
  <c r="I8" i="4" l="1"/>
  <c r="M8" i="4" s="1"/>
  <c r="I7" i="4"/>
  <c r="M7" i="4" l="1"/>
  <c r="B12" i="10"/>
  <c r="B15" i="10"/>
  <c r="B16" i="10"/>
  <c r="I11" i="4" s="1"/>
  <c r="M13" i="4" s="1"/>
  <c r="B14" i="10"/>
  <c r="D14" i="10" s="1"/>
  <c r="D12" i="10" l="1"/>
  <c r="H9" i="4" s="1"/>
  <c r="H21" i="4"/>
  <c r="H11" i="4"/>
  <c r="I14" i="4"/>
  <c r="M9" i="4"/>
  <c r="I10" i="4"/>
  <c r="L7" i="4"/>
  <c r="M18" i="4"/>
  <c r="L13" i="4"/>
  <c r="L8" i="4"/>
  <c r="I13" i="4" l="1"/>
  <c r="H12" i="4" s="1"/>
  <c r="M12" i="4"/>
  <c r="L12" i="4" s="1"/>
  <c r="H10" i="4"/>
  <c r="L9" i="4"/>
  <c r="L18" i="4"/>
  <c r="M17" i="4" l="1"/>
  <c r="M19" i="4" s="1"/>
  <c r="I17" i="4" s="1"/>
  <c r="M14" i="4"/>
  <c r="L14" i="4" s="1"/>
  <c r="L17" i="4" l="1"/>
  <c r="L19" i="4"/>
  <c r="I16" i="4" s="1"/>
</calcChain>
</file>

<file path=xl/sharedStrings.xml><?xml version="1.0" encoding="utf-8"?>
<sst xmlns="http://schemas.openxmlformats.org/spreadsheetml/2006/main" count="111" uniqueCount="99">
  <si>
    <t>LOGO</t>
  </si>
  <si>
    <t>Your details</t>
  </si>
  <si>
    <t>Premium &amp; Cover Summary</t>
  </si>
  <si>
    <t>Detailed Premium Breakdown</t>
  </si>
  <si>
    <t>YFM cease</t>
  </si>
  <si>
    <t>Please complete the appropriate blank highlighted fields</t>
  </si>
  <si>
    <t>Weekly</t>
  </si>
  <si>
    <t>Annual</t>
  </si>
  <si>
    <t>Date of Calculation (dd/mm/yyyy)</t>
  </si>
  <si>
    <t>Standard Death Cover</t>
  </si>
  <si>
    <t>Standard Death Premium</t>
  </si>
  <si>
    <t xml:space="preserve">Gender </t>
  </si>
  <si>
    <t>DOB (dd/mm/yyyy)</t>
  </si>
  <si>
    <t>Standard TPD Cover</t>
  </si>
  <si>
    <t>Standard TPD Premium</t>
  </si>
  <si>
    <t>Age</t>
  </si>
  <si>
    <t>TPD limit</t>
  </si>
  <si>
    <t>Male</t>
  </si>
  <si>
    <t>Additional Death Cover</t>
  </si>
  <si>
    <t>Total Standard Premium</t>
  </si>
  <si>
    <t>AAL</t>
  </si>
  <si>
    <t>Female</t>
  </si>
  <si>
    <t>Salary</t>
  </si>
  <si>
    <t>Additional TPD Cover</t>
  </si>
  <si>
    <t>DEATH Extra</t>
  </si>
  <si>
    <t>TPD Max</t>
  </si>
  <si>
    <t>Total Death Cover</t>
  </si>
  <si>
    <t>Additional TPD Premium</t>
  </si>
  <si>
    <t>TPD Extra</t>
  </si>
  <si>
    <t>Total TPD Cover</t>
  </si>
  <si>
    <t>Total Additional Premium</t>
  </si>
  <si>
    <t>Total Premium - Annual</t>
  </si>
  <si>
    <t>Total Death Premium</t>
  </si>
  <si>
    <t>Total TPD Premium</t>
  </si>
  <si>
    <t>Death &amp; TPD</t>
  </si>
  <si>
    <t>IP</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</si>
  <si>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</si>
  <si>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</si>
  <si>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</si>
  <si>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</si>
  <si>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</si>
  <si>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Death</t>
  </si>
  <si>
    <t>TPD</t>
  </si>
  <si>
    <t xml:space="preserve">Annual Rates Per $1,000 Sum Insured </t>
  </si>
  <si>
    <t>Plan details</t>
  </si>
  <si>
    <t>Name</t>
  </si>
  <si>
    <t>Employees covered</t>
  </si>
  <si>
    <t>Eligibe employees</t>
  </si>
  <si>
    <t>Product</t>
  </si>
  <si>
    <t>Standard Death and Total &amp; Permanent Disability cover</t>
  </si>
  <si>
    <t>Permanent employees (including employees on a fixed term contract no less than six months)</t>
  </si>
  <si>
    <t>URL</t>
  </si>
  <si>
    <t>The amount and cost of cover depends on your age and type of cover. The amount and cost of your cover changes as you get older.</t>
  </si>
  <si>
    <t xml:space="preserve">Should you wish to apply for cover amounts above the Automatic Acceptance Limits a health questionnaire may be required. Acceptance of cover is subject to approval by the plan insurer. </t>
  </si>
  <si>
    <t>Additonal TPD Taper</t>
  </si>
  <si>
    <t>Additonal TPD details</t>
  </si>
  <si>
    <t>10</t>
  </si>
  <si>
    <t>MetLife</t>
  </si>
  <si>
    <t>MLC</t>
  </si>
  <si>
    <t>Zurich</t>
  </si>
  <si>
    <t>TAL</t>
  </si>
  <si>
    <t>unlimited</t>
  </si>
  <si>
    <t>tba</t>
  </si>
  <si>
    <t>Insurer</t>
  </si>
  <si>
    <t>Death limit</t>
  </si>
  <si>
    <t>Options</t>
  </si>
  <si>
    <t>AIA-Corp</t>
  </si>
  <si>
    <t>AIA-Bus</t>
  </si>
  <si>
    <t>Check</t>
  </si>
  <si>
    <t xml:space="preserve">  Plan name</t>
  </si>
  <si>
    <t xml:space="preserve">  URL</t>
  </si>
  <si>
    <t xml:space="preserve">  AAL</t>
  </si>
  <si>
    <t xml:space="preserve">  D&amp;TPD Options</t>
  </si>
  <si>
    <t>Add Death Max Age</t>
  </si>
  <si>
    <t>Add TPD Max Age</t>
  </si>
  <si>
    <t>Standard Death Max age</t>
  </si>
  <si>
    <t>Standard TPD Max Age</t>
  </si>
  <si>
    <t xml:space="preserve">Maximum Ages </t>
  </si>
  <si>
    <r>
      <t>Annual Rates Per</t>
    </r>
    <r>
      <rPr>
        <b/>
        <sz val="10"/>
        <color rgb="FFFF0000"/>
        <rFont val="Neo Sans"/>
      </rPr>
      <t xml:space="preserve"> $10,000</t>
    </r>
    <r>
      <rPr>
        <b/>
        <sz val="10"/>
        <rFont val="Neo Sans"/>
      </rPr>
      <t xml:space="preserve"> Sum Insured </t>
    </r>
  </si>
  <si>
    <t xml:space="preserve">
Additional Death Premium</t>
  </si>
  <si>
    <t>Corporate</t>
  </si>
  <si>
    <t>Death Max</t>
  </si>
  <si>
    <t>Additional Death Max</t>
  </si>
  <si>
    <t>Additional TPD Max</t>
  </si>
  <si>
    <t>Permanents</t>
  </si>
  <si>
    <r>
      <rPr>
        <b/>
        <sz val="10"/>
        <color rgb="FFF24E49"/>
        <rFont val="Arial"/>
        <family val="2"/>
      </rPr>
      <t xml:space="preserve">Please complete if you require Additional Death &amp; TPD cover </t>
    </r>
    <r>
      <rPr>
        <b/>
        <vertAlign val="superscript"/>
        <sz val="10"/>
        <color rgb="FFF24E49"/>
        <rFont val="Arial"/>
        <family val="2"/>
      </rPr>
      <t>1</t>
    </r>
    <r>
      <rPr>
        <sz val="10"/>
        <color rgb="FFF24E49"/>
        <rFont val="Arial"/>
        <family val="2"/>
      </rPr>
      <t xml:space="preserve">
(NOTE: This amount is in addition to your Standard cover)</t>
    </r>
  </si>
  <si>
    <t>2.  Note that rounding variations may occur in the calculations. Weekly premiums are deducted monthly in arrears from your superannuation account.</t>
  </si>
  <si>
    <r>
      <t xml:space="preserve">Total Premium - Weekly </t>
    </r>
    <r>
      <rPr>
        <b/>
        <vertAlign val="superscript"/>
        <sz val="11"/>
        <color rgb="FF1C355E"/>
        <rFont val="Arial"/>
        <family val="2"/>
      </rPr>
      <t>2</t>
    </r>
  </si>
  <si>
    <r>
      <t xml:space="preserve">Total Premium </t>
    </r>
    <r>
      <rPr>
        <b/>
        <vertAlign val="superscript"/>
        <sz val="11"/>
        <color rgb="FF1C355E"/>
        <rFont val="Arial"/>
        <family val="2"/>
      </rPr>
      <t>2</t>
    </r>
  </si>
  <si>
    <t>1.  Applications for Additional Death &amp; TPD cover are subject to acceptance by the insurer. Maximum cover and age limits apply. We reserve the right to limit the amount of cover provided.</t>
  </si>
  <si>
    <t>Alcoa Superannuation Plan</t>
  </si>
  <si>
    <t xml:space="preserve">Permanent and Fixed Term employees </t>
  </si>
  <si>
    <t>art.com.au/acloa</t>
  </si>
  <si>
    <t>Death &amp; TPD cover - % of Salary option (default 15%)</t>
  </si>
  <si>
    <r>
      <t xml:space="preserve">This calculator should be used as a guide only, to assist you in estimating the cost of insurance based on the information you provide. It does not constitute an offer of insurance.
To the maximum extent permitted by law,the trustee of Australian Retirement Trust take no responsibility for reliance by any person on the information in or relating to this calculator. The quotation provided by this calculator does not constitute financial product advice. Before acting on the quotation, you should consider the relevant Product Disclosure Statement (PDS), available from </t>
    </r>
    <r>
      <rPr>
        <b/>
        <sz val="10"/>
        <color theme="1"/>
        <rFont val="Arial"/>
        <family val="2"/>
      </rPr>
      <t>art.com.au/alcoa</t>
    </r>
  </si>
  <si>
    <r>
      <t xml:space="preserve">Effective : </t>
    </r>
    <r>
      <rPr>
        <b/>
        <sz val="9"/>
        <rFont val="Arial"/>
        <family val="2"/>
      </rPr>
      <t>01/03/2024</t>
    </r>
  </si>
  <si>
    <t>Date at Cease Age</t>
  </si>
  <si>
    <t>Years to Cease Age</t>
  </si>
  <si>
    <t>Unisex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</si>
</sst>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
    <numFmt numFmtId="182" formatCode="[&gt;=0.2]##.0%;[&lt;1]##%"/>
    <numFmt numFmtId="185" formatCode="0.00000"/>
  </numFmts>
  <fonts count="141">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6"/>
      <color rgb="FF0051FF"/>
      <name val="Arial"/>
      <family val="2"/>
    </font>
    <font>
      <b/>
      <sz val="14"/>
      <color rgb="FF0051FF"/>
      <name val="Arial"/>
      <family val="2"/>
    </font>
    <font>
      <sz val="10"/>
      <color rgb="FF0051FF"/>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u/>
      <sz val="10"/>
      <color rgb="FF0051FF"/>
      <name val="Arial"/>
      <family val="2"/>
    </font>
    <font>
      <b/>
      <sz val="10"/>
      <color rgb="FFFFFFFF"/>
      <name val="Neo Sans"/>
      <family val="2"/>
    </font>
    <font>
      <b/>
      <sz val="10"/>
      <color rgb="FF000000"/>
      <name val="Neo Sans"/>
      <family val="2"/>
    </font>
    <font>
      <b/>
      <sz val="10"/>
      <name val="Neo Sans"/>
    </font>
    <font>
      <b/>
      <sz val="10"/>
      <color rgb="FFFF0000"/>
      <name val="Neo Sans"/>
    </font>
    <font>
      <sz val="10"/>
      <color rgb="FFF24E49"/>
      <name val="Arial"/>
      <family val="2"/>
    </font>
    <font>
      <b/>
      <sz val="10"/>
      <color rgb="FFF24E49"/>
      <name val="Arial"/>
      <family val="2"/>
    </font>
    <font>
      <b/>
      <sz val="12"/>
      <color rgb="FFF24E49"/>
      <name val="Arial"/>
      <family val="2"/>
    </font>
    <font>
      <b/>
      <vertAlign val="superscript"/>
      <sz val="10"/>
      <color rgb="FFF24E49"/>
      <name val="Arial"/>
      <family val="2"/>
    </font>
    <font>
      <b/>
      <vertAlign val="superscript"/>
      <sz val="11"/>
      <color rgb="FF1C355E"/>
      <name val="Arial"/>
      <family val="2"/>
    </font>
    <font>
      <b/>
      <sz val="9"/>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
      <patternFill patternType="solid">
        <fgColor theme="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medium">
        <color rgb="FF0051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5" fillId="61" borderId="0" xfId="0" applyFont="1" applyFill="1" applyAlignment="1">
      <alignment vertical="top"/>
    </xf>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8" fillId="61" borderId="0" xfId="13043" applyFont="1" applyFill="1" applyAlignment="1">
      <alignment horizontal="left" vertical="center" wrapText="1"/>
    </xf>
    <xf numFmtId="0" fontId="118"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0" fontId="102" fillId="60" borderId="0" xfId="0" applyFont="1" applyFill="1" applyAlignment="1">
      <alignment vertical="top"/>
    </xf>
    <xf numFmtId="0" fontId="119" fillId="61" borderId="0" xfId="0" applyFont="1" applyFill="1"/>
    <xf numFmtId="0" fontId="120" fillId="61" borderId="0" xfId="0" applyFont="1" applyFill="1" applyAlignment="1">
      <alignment vertical="center"/>
    </xf>
    <xf numFmtId="0" fontId="121" fillId="61" borderId="0" xfId="0" applyFont="1" applyFill="1"/>
    <xf numFmtId="0" fontId="120" fillId="64" borderId="0" xfId="0" applyFont="1" applyFill="1" applyAlignment="1">
      <alignment vertical="center"/>
    </xf>
    <xf numFmtId="0" fontId="122" fillId="64" borderId="0" xfId="0" applyFont="1" applyFill="1"/>
    <xf numFmtId="0" fontId="123" fillId="64" borderId="0" xfId="0" applyFont="1" applyFill="1"/>
    <xf numFmtId="0" fontId="124" fillId="64" borderId="0" xfId="0" applyFont="1" applyFill="1"/>
    <xf numFmtId="0" fontId="124" fillId="64" borderId="0" xfId="0" applyFont="1" applyFill="1" applyAlignment="1">
      <alignment vertical="center"/>
    </xf>
    <xf numFmtId="0" fontId="125" fillId="64" borderId="0" xfId="0" applyFont="1" applyFill="1" applyAlignment="1">
      <alignment horizontal="center"/>
    </xf>
    <xf numFmtId="0" fontId="126" fillId="64" borderId="0" xfId="32987" applyFont="1" applyFill="1" applyAlignment="1">
      <alignment vertical="center"/>
    </xf>
    <xf numFmtId="14" fontId="126" fillId="64" borderId="0" xfId="32987" applyNumberFormat="1" applyFont="1" applyFill="1"/>
    <xf numFmtId="3" fontId="127" fillId="64" borderId="0" xfId="32987" applyNumberFormat="1" applyFont="1" applyFill="1"/>
    <xf numFmtId="179" fontId="127" fillId="64" borderId="0" xfId="32987" applyNumberFormat="1" applyFont="1" applyFill="1"/>
    <xf numFmtId="9" fontId="127" fillId="64" borderId="0" xfId="33003" applyFont="1" applyFill="1" applyBorder="1" applyProtection="1"/>
    <xf numFmtId="0" fontId="126" fillId="64" borderId="0" xfId="0" applyFont="1" applyFill="1" applyAlignment="1">
      <alignment vertical="center"/>
    </xf>
    <xf numFmtId="0" fontId="126" fillId="64" borderId="0" xfId="0" applyFont="1" applyFill="1" applyAlignment="1">
      <alignment vertical="top"/>
    </xf>
    <xf numFmtId="0" fontId="124" fillId="63" borderId="0" xfId="0" applyFont="1" applyFill="1"/>
    <xf numFmtId="0" fontId="126" fillId="63" borderId="0" xfId="0" applyFont="1" applyFill="1" applyAlignment="1">
      <alignment horizontal="center" vertical="center"/>
    </xf>
    <xf numFmtId="0" fontId="129" fillId="63" borderId="0" xfId="0" applyFont="1" applyFill="1" applyAlignment="1">
      <alignment vertical="center"/>
    </xf>
    <xf numFmtId="0" fontId="122" fillId="63" borderId="0" xfId="0" applyFont="1" applyFill="1"/>
    <xf numFmtId="0" fontId="126" fillId="63" borderId="0" xfId="0" applyFont="1" applyFill="1" applyAlignment="1">
      <alignment vertical="top"/>
    </xf>
    <xf numFmtId="0" fontId="130" fillId="61" borderId="0" xfId="0" applyFont="1" applyFill="1" applyAlignment="1">
      <alignment vertical="center"/>
    </xf>
    <xf numFmtId="0" fontId="126" fillId="63" borderId="0" xfId="32987" applyFont="1" applyFill="1" applyAlignment="1">
      <alignment vertical="center"/>
    </xf>
    <xf numFmtId="179" fontId="126" fillId="63" borderId="0" xfId="32987" quotePrefix="1" applyNumberFormat="1" applyFont="1" applyFill="1" applyAlignment="1">
      <alignment horizontal="center" vertical="center"/>
    </xf>
    <xf numFmtId="178" fontId="126" fillId="63" borderId="0" xfId="0" applyNumberFormat="1" applyFont="1" applyFill="1" applyAlignment="1">
      <alignment horizontal="center" vertical="center"/>
    </xf>
    <xf numFmtId="179" fontId="126" fillId="63" borderId="0" xfId="32987" applyNumberFormat="1" applyFont="1" applyFill="1" applyAlignment="1">
      <alignment horizontal="center" vertical="center"/>
    </xf>
    <xf numFmtId="0" fontId="124" fillId="63" borderId="0" xfId="32987" applyFont="1" applyFill="1"/>
    <xf numFmtId="178" fontId="126" fillId="66" borderId="0" xfId="32987" applyNumberFormat="1" applyFont="1" applyFill="1" applyAlignment="1">
      <alignment horizontal="center" vertical="center"/>
    </xf>
    <xf numFmtId="179" fontId="126" fillId="66" borderId="0" xfId="32987" applyNumberFormat="1" applyFont="1" applyFill="1" applyAlignment="1">
      <alignment horizontal="center" vertical="center"/>
    </xf>
    <xf numFmtId="0" fontId="126" fillId="63" borderId="26" xfId="32987" applyFont="1" applyFill="1" applyBorder="1" applyAlignment="1">
      <alignment vertical="center"/>
    </xf>
    <xf numFmtId="179" fontId="126" fillId="66" borderId="26" xfId="32987" applyNumberFormat="1" applyFont="1" applyFill="1" applyBorder="1" applyAlignment="1">
      <alignment horizontal="center" vertical="center"/>
    </xf>
    <xf numFmtId="0" fontId="126" fillId="63" borderId="26" xfId="0" applyFont="1" applyFill="1" applyBorder="1" applyAlignment="1">
      <alignment vertical="center"/>
    </xf>
    <xf numFmtId="179" fontId="126" fillId="63" borderId="26" xfId="32987" quotePrefix="1" applyNumberFormat="1" applyFont="1" applyFill="1" applyBorder="1" applyAlignment="1">
      <alignment horizontal="center" vertical="center"/>
    </xf>
    <xf numFmtId="178" fontId="126" fillId="63" borderId="26" xfId="0" applyNumberFormat="1" applyFont="1" applyFill="1" applyBorder="1" applyAlignment="1">
      <alignment horizontal="center" vertical="center"/>
    </xf>
    <xf numFmtId="179" fontId="126" fillId="63" borderId="26" xfId="32987" applyNumberFormat="1" applyFont="1" applyFill="1" applyBorder="1" applyAlignment="1">
      <alignment horizontal="center" vertical="center"/>
    </xf>
    <xf numFmtId="0" fontId="126" fillId="63" borderId="27" xfId="32987" applyFont="1" applyFill="1" applyBorder="1" applyAlignment="1">
      <alignment vertical="center"/>
    </xf>
    <xf numFmtId="179" fontId="126" fillId="63" borderId="27" xfId="32987" applyNumberFormat="1" applyFont="1" applyFill="1" applyBorder="1" applyAlignment="1">
      <alignment horizontal="center" vertical="center"/>
    </xf>
    <xf numFmtId="0" fontId="126" fillId="63" borderId="28" xfId="32987" applyFont="1" applyFill="1" applyBorder="1" applyAlignment="1">
      <alignment vertical="center"/>
    </xf>
    <xf numFmtId="178" fontId="126" fillId="63" borderId="27" xfId="0" applyNumberFormat="1" applyFont="1" applyFill="1" applyBorder="1" applyAlignment="1">
      <alignment horizontal="center" vertical="center"/>
    </xf>
    <xf numFmtId="0" fontId="126" fillId="63" borderId="27" xfId="0" applyFont="1" applyFill="1" applyBorder="1" applyAlignment="1">
      <alignment vertical="center"/>
    </xf>
    <xf numFmtId="0" fontId="126" fillId="63" borderId="29" xfId="0" applyFont="1" applyFill="1" applyBorder="1" applyAlignment="1">
      <alignment vertical="center"/>
    </xf>
    <xf numFmtId="178" fontId="126" fillId="63" borderId="29" xfId="0" applyNumberFormat="1" applyFont="1" applyFill="1" applyBorder="1" applyAlignment="1">
      <alignment horizontal="center" vertical="center"/>
    </xf>
    <xf numFmtId="179" fontId="126" fillId="63" borderId="29" xfId="32987" applyNumberFormat="1" applyFont="1" applyFill="1" applyBorder="1" applyAlignment="1">
      <alignment horizontal="center" vertical="center"/>
    </xf>
    <xf numFmtId="10" fontId="102" fillId="66" borderId="0" xfId="0" applyNumberFormat="1" applyFont="1" applyFill="1"/>
    <xf numFmtId="9" fontId="102" fillId="66" borderId="0" xfId="0" applyNumberFormat="1" applyFont="1" applyFill="1"/>
    <xf numFmtId="179" fontId="113" fillId="66" borderId="25" xfId="32987" quotePrefix="1" applyNumberFormat="1" applyFont="1" applyFill="1" applyBorder="1" applyAlignment="1">
      <alignment horizontal="center" vertical="center"/>
    </xf>
    <xf numFmtId="0" fontId="102" fillId="66" borderId="0" xfId="0" applyFont="1" applyFill="1"/>
    <xf numFmtId="179" fontId="113" fillId="60" borderId="25" xfId="32987" quotePrefix="1" applyNumberFormat="1" applyFont="1" applyFill="1" applyBorder="1" applyAlignment="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4" fontId="2" fillId="63" borderId="27" xfId="0" applyNumberFormat="1" applyFont="1" applyFill="1" applyBorder="1"/>
    <xf numFmtId="0" fontId="6" fillId="68" borderId="30" xfId="0" applyFont="1" applyFill="1" applyBorder="1" applyAlignment="1">
      <alignment horizontal="center"/>
    </xf>
    <xf numFmtId="2" fontId="0" fillId="63" borderId="30" xfId="0" applyNumberFormat="1" applyFill="1" applyBorder="1" applyAlignment="1">
      <alignment horizontal="center" vertical="center"/>
    </xf>
    <xf numFmtId="4" fontId="2" fillId="63" borderId="30" xfId="0" applyNumberFormat="1" applyFont="1" applyFill="1" applyBorder="1"/>
    <xf numFmtId="14" fontId="126" fillId="63" borderId="31" xfId="32987" applyNumberFormat="1" applyFont="1" applyFill="1" applyBorder="1" applyAlignment="1" applyProtection="1">
      <alignment vertical="center"/>
      <protection locked="0"/>
    </xf>
    <xf numFmtId="14" fontId="126" fillId="65" borderId="31" xfId="32987" applyNumberFormat="1" applyFont="1" applyFill="1" applyBorder="1"/>
    <xf numFmtId="3" fontId="126" fillId="63" borderId="31" xfId="32987" applyNumberFormat="1" applyFont="1" applyFill="1" applyBorder="1" applyAlignment="1">
      <alignment vertical="center"/>
    </xf>
    <xf numFmtId="3" fontId="127" fillId="64" borderId="31" xfId="32987" applyNumberFormat="1" applyFont="1" applyFill="1" applyBorder="1"/>
    <xf numFmtId="3" fontId="126" fillId="63" borderId="31" xfId="32987" applyNumberFormat="1" applyFont="1" applyFill="1" applyBorder="1" applyAlignment="1" applyProtection="1">
      <alignment horizontal="right" vertical="center"/>
      <protection locked="0"/>
    </xf>
    <xf numFmtId="179" fontId="126" fillId="63" borderId="31" xfId="32987" applyNumberFormat="1" applyFont="1" applyFill="1" applyBorder="1" applyAlignment="1" applyProtection="1">
      <alignment vertical="center"/>
      <protection locked="0"/>
    </xf>
    <xf numFmtId="179" fontId="128" fillId="65" borderId="31" xfId="32987" applyNumberFormat="1" applyFont="1" applyFill="1" applyBorder="1" applyAlignment="1">
      <alignment vertical="center"/>
    </xf>
    <xf numFmtId="2" fontId="132" fillId="67" borderId="36" xfId="0" applyNumberFormat="1" applyFont="1" applyFill="1" applyBorder="1" applyAlignment="1">
      <alignment horizontal="center"/>
    </xf>
    <xf numFmtId="0" fontId="117" fillId="61" borderId="0" xfId="13043" applyFont="1" applyFill="1" applyAlignment="1">
      <alignment horizontal="left" vertical="center" wrapText="1"/>
    </xf>
    <xf numFmtId="0" fontId="117" fillId="61" borderId="0" xfId="0" quotePrefix="1" applyFont="1" applyFill="1" applyAlignment="1">
      <alignment horizontal="left" vertical="top" wrapText="1"/>
    </xf>
    <xf numFmtId="0" fontId="42" fillId="61" borderId="0" xfId="0" applyFont="1" applyFill="1"/>
    <xf numFmtId="0" fontId="28" fillId="66" borderId="0" xfId="0" applyFont="1" applyFill="1"/>
    <xf numFmtId="0" fontId="28" fillId="61" borderId="0" xfId="0" applyFont="1" applyFill="1" applyAlignment="1">
      <alignment vertical="top"/>
    </xf>
    <xf numFmtId="0" fontId="28" fillId="66" borderId="0" xfId="0" applyFont="1" applyFill="1" applyAlignment="1">
      <alignment vertical="top"/>
    </xf>
    <xf numFmtId="0" fontId="42" fillId="61" borderId="0" xfId="0" applyFont="1" applyFill="1" applyAlignment="1">
      <alignment vertical="top"/>
    </xf>
    <xf numFmtId="0" fontId="90" fillId="61" borderId="0" xfId="0" applyFont="1" applyFill="1" applyAlignment="1">
      <alignment wrapText="1"/>
    </xf>
    <xf numFmtId="179" fontId="118" fillId="61" borderId="0" xfId="13043" applyNumberFormat="1" applyFont="1" applyFill="1" applyAlignment="1">
      <alignment horizontal="left" vertical="center" wrapText="1"/>
    </xf>
    <xf numFmtId="1" fontId="113" fillId="66" borderId="25" xfId="32987" quotePrefix="1" applyNumberFormat="1" applyFont="1" applyFill="1" applyBorder="1" applyAlignment="1">
      <alignment horizontal="center" vertical="center"/>
    </xf>
    <xf numFmtId="0" fontId="42" fillId="61" borderId="0" xfId="0" applyFont="1" applyFill="1" applyAlignment="1">
      <alignment horizontal="center"/>
    </xf>
    <xf numFmtId="0" fontId="42" fillId="66" borderId="0" xfId="0" applyFont="1" applyFill="1" applyAlignment="1">
      <alignment vertical="top"/>
    </xf>
    <xf numFmtId="2" fontId="0" fillId="0" borderId="0" xfId="0" applyNumberFormat="1"/>
    <xf numFmtId="0" fontId="0" fillId="0" borderId="0" xfId="0" applyAlignment="1">
      <alignment horizontal="left"/>
    </xf>
    <xf numFmtId="0" fontId="133" fillId="0" borderId="0" xfId="0" applyFont="1"/>
    <xf numFmtId="0" fontId="124" fillId="64" borderId="0" xfId="0" quotePrefix="1" applyFont="1" applyFill="1" applyAlignment="1">
      <alignment horizontal="left" wrapText="1"/>
    </xf>
    <xf numFmtId="0" fontId="126" fillId="63" borderId="0" xfId="0" applyFont="1" applyFill="1" applyAlignment="1">
      <alignment vertical="center" wrapText="1"/>
    </xf>
    <xf numFmtId="0" fontId="40" fillId="61" borderId="0" xfId="0" applyFont="1" applyFill="1"/>
    <xf numFmtId="0" fontId="28" fillId="61" borderId="0" xfId="0" applyFont="1" applyFill="1" applyAlignment="1">
      <alignment vertical="center"/>
    </xf>
    <xf numFmtId="0" fontId="40" fillId="61" borderId="0" xfId="0" applyFont="1" applyFill="1" applyAlignment="1">
      <alignment vertical="top"/>
    </xf>
    <xf numFmtId="0" fontId="110" fillId="0" borderId="0" xfId="0" applyFont="1" applyAlignment="1">
      <alignment horizontal="center" vertical="center"/>
    </xf>
    <xf numFmtId="9" fontId="102" fillId="0" borderId="0" xfId="33003" applyFont="1" applyFill="1" applyAlignment="1" applyProtection="1">
      <alignment horizontal="center" vertical="center"/>
    </xf>
    <xf numFmtId="0" fontId="102" fillId="0" borderId="0" xfId="0" applyFont="1"/>
    <xf numFmtId="178" fontId="126" fillId="63" borderId="28" xfId="0" applyNumberFormat="1" applyFont="1" applyFill="1" applyBorder="1" applyAlignment="1">
      <alignment horizontal="center" vertical="center"/>
    </xf>
    <xf numFmtId="179" fontId="126" fillId="66" borderId="28" xfId="32987" applyNumberFormat="1" applyFont="1" applyFill="1" applyBorder="1" applyAlignment="1">
      <alignment horizontal="center" vertical="center"/>
    </xf>
    <xf numFmtId="0" fontId="126" fillId="0" borderId="0" xfId="32987" applyFont="1" applyAlignment="1">
      <alignment vertical="center"/>
    </xf>
    <xf numFmtId="178" fontId="126" fillId="0" borderId="0" xfId="0" applyNumberFormat="1" applyFont="1" applyAlignment="1">
      <alignment horizontal="center" vertical="center"/>
    </xf>
    <xf numFmtId="179" fontId="126" fillId="0" borderId="0" xfId="32987" applyNumberFormat="1" applyFont="1" applyAlignment="1">
      <alignment horizontal="center" vertical="center"/>
    </xf>
    <xf numFmtId="179" fontId="126" fillId="63" borderId="26" xfId="0" applyNumberFormat="1" applyFont="1" applyFill="1" applyBorder="1" applyAlignment="1">
      <alignment horizontal="center" vertical="center"/>
    </xf>
    <xf numFmtId="0" fontId="129" fillId="63" borderId="0" xfId="0" applyFont="1" applyFill="1" applyAlignment="1">
      <alignment horizontal="left" vertical="center"/>
    </xf>
    <xf numFmtId="0" fontId="102" fillId="61" borderId="0" xfId="0" applyFont="1" applyFill="1" applyAlignment="1">
      <alignment horizontal="left" vertical="center"/>
    </xf>
    <xf numFmtId="49" fontId="113" fillId="66" borderId="25" xfId="33003" quotePrefix="1" applyNumberFormat="1" applyFont="1" applyFill="1" applyBorder="1" applyAlignment="1">
      <alignment horizontal="left" vertical="center"/>
    </xf>
    <xf numFmtId="0" fontId="112" fillId="61" borderId="0" xfId="0" applyFont="1" applyFill="1" applyAlignment="1">
      <alignment horizontal="left" vertical="center"/>
    </xf>
    <xf numFmtId="0" fontId="122" fillId="0" borderId="0" xfId="0" applyFont="1" applyAlignment="1">
      <alignment horizontal="left" vertical="center"/>
    </xf>
    <xf numFmtId="0" fontId="124" fillId="63" borderId="0" xfId="32987" applyFont="1" applyFill="1" applyAlignment="1">
      <alignment horizontal="left" vertical="center"/>
    </xf>
    <xf numFmtId="0" fontId="102" fillId="0" borderId="0" xfId="0" applyFont="1" applyAlignment="1">
      <alignment horizontal="left" vertical="center"/>
    </xf>
    <xf numFmtId="178" fontId="102" fillId="61" borderId="0" xfId="0" applyNumberFormat="1" applyFont="1" applyFill="1" applyAlignment="1">
      <alignment horizontal="left" vertical="center"/>
    </xf>
    <xf numFmtId="10" fontId="102" fillId="61" borderId="0" xfId="0" applyNumberFormat="1" applyFont="1" applyFill="1" applyAlignment="1">
      <alignment horizontal="left" vertical="center"/>
    </xf>
    <xf numFmtId="9" fontId="102" fillId="61" borderId="0" xfId="0" applyNumberFormat="1" applyFont="1" applyFill="1" applyAlignment="1">
      <alignment horizontal="left" vertical="center"/>
    </xf>
    <xf numFmtId="0" fontId="102" fillId="60" borderId="0" xfId="0" applyFont="1" applyFill="1" applyAlignment="1">
      <alignment horizontal="left" vertical="center"/>
    </xf>
    <xf numFmtId="4" fontId="4" fillId="0" borderId="0" xfId="0" applyNumberFormat="1" applyFont="1"/>
    <xf numFmtId="4" fontId="131" fillId="62" borderId="33" xfId="0" applyNumberFormat="1" applyFont="1" applyFill="1" applyBorder="1" applyAlignment="1">
      <alignment horizontal="center" wrapText="1"/>
    </xf>
    <xf numFmtId="9" fontId="102" fillId="66" borderId="0" xfId="33003" applyFont="1" applyFill="1"/>
    <xf numFmtId="181" fontId="102" fillId="66" borderId="0" xfId="33003" applyNumberFormat="1" applyFont="1" applyFill="1"/>
    <xf numFmtId="182" fontId="126" fillId="63" borderId="31" xfId="33003" applyNumberFormat="1" applyFont="1" applyFill="1" applyBorder="1" applyAlignment="1" applyProtection="1">
      <alignment vertical="center"/>
      <protection locked="0"/>
    </xf>
    <xf numFmtId="0" fontId="97" fillId="61" borderId="1" xfId="32987" applyFill="1" applyBorder="1"/>
    <xf numFmtId="1" fontId="105" fillId="69" borderId="1" xfId="0" applyNumberFormat="1" applyFont="1" applyFill="1" applyBorder="1" applyAlignment="1">
      <alignment horizontal="center" vertical="center"/>
    </xf>
    <xf numFmtId="9" fontId="115" fillId="61" borderId="0" xfId="0" quotePrefix="1" applyNumberFormat="1" applyFont="1" applyFill="1" applyAlignment="1">
      <alignment horizontal="right" vertical="center" textRotation="180"/>
    </xf>
    <xf numFmtId="0" fontId="117" fillId="0" borderId="0" xfId="0" quotePrefix="1" applyFont="1" applyAlignment="1">
      <alignment horizontal="left" vertical="top" wrapText="1"/>
    </xf>
    <xf numFmtId="0" fontId="137" fillId="64" borderId="0" xfId="0" applyFont="1" applyFill="1" applyAlignment="1">
      <alignment horizontal="left" vertical="top"/>
    </xf>
    <xf numFmtId="0" fontId="136" fillId="64" borderId="0" xfId="0" applyFont="1" applyFill="1" applyAlignment="1">
      <alignment horizontal="left" vertical="top"/>
    </xf>
    <xf numFmtId="0" fontId="90" fillId="61" borderId="0" xfId="0" applyFont="1" applyFill="1" applyAlignment="1">
      <alignment horizontal="left" vertical="center" wrapText="1"/>
    </xf>
    <xf numFmtId="0" fontId="135" fillId="64" borderId="0" xfId="0" applyFont="1" applyFill="1" applyAlignment="1">
      <alignment horizontal="left" vertical="center" wrapText="1"/>
    </xf>
    <xf numFmtId="0" fontId="124" fillId="64" borderId="0" xfId="0" quotePrefix="1" applyFont="1" applyFill="1" applyAlignment="1">
      <alignment horizontal="left" wrapText="1"/>
    </xf>
    <xf numFmtId="0" fontId="90" fillId="61" borderId="0" xfId="0" applyFont="1" applyFill="1" applyAlignment="1">
      <alignment horizontal="left" vertical="top" wrapText="1"/>
    </xf>
    <xf numFmtId="0" fontId="118" fillId="61" borderId="0" xfId="13043" applyFont="1" applyFill="1" applyAlignment="1">
      <alignment vertical="center" wrapText="1"/>
    </xf>
    <xf numFmtId="0" fontId="118" fillId="61" borderId="0" xfId="13043"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center" wrapText="1"/>
    </xf>
    <xf numFmtId="0" fontId="90" fillId="61" borderId="0" xfId="0" applyFont="1" applyFill="1" applyAlignment="1">
      <alignment horizontal="left" wrapText="1"/>
    </xf>
    <xf numFmtId="0" fontId="124" fillId="0" borderId="38" xfId="0" quotePrefix="1" applyFont="1" applyBorder="1" applyAlignment="1">
      <alignment horizontal="left" vertical="center" wrapText="1"/>
    </xf>
    <xf numFmtId="0" fontId="90" fillId="61" borderId="38" xfId="0" applyFont="1" applyFill="1" applyBorder="1" applyAlignment="1">
      <alignment horizontal="left" vertical="center" wrapText="1"/>
    </xf>
    <xf numFmtId="0" fontId="131" fillId="62" borderId="32" xfId="0" applyFont="1" applyFill="1" applyBorder="1" applyAlignment="1">
      <alignment horizontal="center" vertical="center" wrapText="1"/>
    </xf>
    <xf numFmtId="0" fontId="131" fillId="62" borderId="35" xfId="0" applyFont="1" applyFill="1" applyBorder="1" applyAlignment="1">
      <alignment horizontal="center" vertical="center" wrapText="1"/>
    </xf>
    <xf numFmtId="2" fontId="131" fillId="62" borderId="33" xfId="0" applyNumberFormat="1" applyFont="1" applyFill="1" applyBorder="1" applyAlignment="1">
      <alignment horizontal="center" vertical="center"/>
    </xf>
    <xf numFmtId="2" fontId="131" fillId="62" borderId="36" xfId="0" applyNumberFormat="1" applyFont="1" applyFill="1" applyBorder="1" applyAlignment="1">
      <alignment horizontal="center" vertical="center"/>
    </xf>
    <xf numFmtId="2" fontId="131" fillId="62" borderId="34" xfId="0" applyNumberFormat="1" applyFont="1" applyFill="1" applyBorder="1" applyAlignment="1">
      <alignment horizontal="center" vertical="center"/>
    </xf>
    <xf numFmtId="2" fontId="131" fillId="62" borderId="37" xfId="0" applyNumberFormat="1" applyFont="1" applyFill="1" applyBorder="1" applyAlignment="1">
      <alignment horizontal="center" vertical="center"/>
    </xf>
    <xf numFmtId="1" fontId="102" fillId="61" borderId="0" xfId="0" applyNumberFormat="1" applyFont="1" applyFill="1"/>
    <xf numFmtId="185" fontId="102" fillId="61" borderId="0" xfId="0" applyNumberFormat="1" applyFont="1" applyFill="1"/>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7">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numFmt numFmtId="181" formatCode="0.0%"/>
    </dxf>
  </dxfs>
  <tableStyles count="0" defaultTableStyle="TableStyleMedium2" defaultPivotStyle="PivotStyleLight16"/>
  <colors>
    <mruColors>
      <color rgb="FFF2F2F2"/>
      <color rgb="FFF6E5DD"/>
      <color rgb="FFF24E49"/>
      <color rgb="FF0051FF"/>
      <color rgb="FFD1F2FF"/>
      <color rgb="FFA1D0F9"/>
      <color rgb="FFF0F4F7"/>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519441</xdr:colOff>
      <xdr:row>11</xdr:row>
      <xdr:rowOff>250721</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733425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G61"/>
  <sheetViews>
    <sheetView showGridLines="0" tabSelected="1" zoomScale="67" zoomScaleNormal="80" workbookViewId="0">
      <selection activeCell="D7" sqref="D7"/>
    </sheetView>
  </sheetViews>
  <sheetFormatPr defaultColWidth="0" defaultRowHeight="16.5" zeroHeight="1"/>
  <cols>
    <col min="1" max="1" width="6.54296875" style="14" customWidth="1"/>
    <col min="2" max="2" width="4" style="14" customWidth="1"/>
    <col min="3" max="3" width="65.26953125" style="15" customWidth="1"/>
    <col min="4" max="4" width="31.1796875" style="15" customWidth="1"/>
    <col min="5" max="5" width="1.54296875" style="15" customWidth="1"/>
    <col min="6" max="6" width="4.1796875" style="15" customWidth="1"/>
    <col min="7" max="7" width="3.26953125" style="15" customWidth="1"/>
    <col min="8" max="8" width="49.453125" style="15" customWidth="1"/>
    <col min="9" max="9" width="20.81640625" style="15" customWidth="1"/>
    <col min="10" max="10" width="4" style="15" customWidth="1"/>
    <col min="11" max="11" width="43.453125" style="15" customWidth="1"/>
    <col min="12" max="13" width="15.453125" style="14" customWidth="1"/>
    <col min="14" max="14" width="4.453125" style="14" customWidth="1"/>
    <col min="15" max="85" width="0" style="14" hidden="1" customWidth="1"/>
    <col min="86" max="16384" width="4.453125" style="16" hidden="1"/>
  </cols>
  <sheetData>
    <row r="1" spans="1:85" s="17" customFormat="1" ht="37.5" customHeight="1">
      <c r="B1" s="18"/>
      <c r="C1" s="61" t="str">
        <f>Variables!B3</f>
        <v>Alcoa Superannuation Plan</v>
      </c>
      <c r="D1" s="19"/>
      <c r="E1" s="19"/>
      <c r="F1" s="19"/>
      <c r="G1" s="19"/>
      <c r="I1" s="19"/>
      <c r="J1" s="19"/>
      <c r="K1" s="19"/>
    </row>
    <row r="2" spans="1:85" s="17" customFormat="1" ht="37.5" customHeight="1">
      <c r="C2" s="21" t="str">
        <f>CONCATENATE("Insurance Calculator for ",Variables!B4)</f>
        <v xml:space="preserve">Insurance Calculator for Permanent and Fixed Term employees </v>
      </c>
      <c r="D2" s="19"/>
      <c r="E2" s="19"/>
      <c r="F2" s="19"/>
      <c r="G2" s="19"/>
      <c r="J2" s="19"/>
      <c r="K2" s="22" t="s">
        <v>0</v>
      </c>
    </row>
    <row r="3" spans="1:85" s="17" customFormat="1" ht="14">
      <c r="C3" s="23"/>
      <c r="D3" s="19"/>
      <c r="E3" s="19"/>
      <c r="F3" s="19"/>
      <c r="G3" s="19"/>
      <c r="H3" s="19"/>
      <c r="I3" s="19"/>
      <c r="J3" s="19"/>
      <c r="K3" s="19"/>
    </row>
    <row r="4" spans="1:85" s="25" customFormat="1" ht="12" customHeight="1">
      <c r="A4" s="17"/>
      <c r="B4" s="65"/>
      <c r="C4" s="66"/>
      <c r="D4" s="67"/>
      <c r="E4" s="67"/>
      <c r="F4" s="67"/>
      <c r="G4" s="19"/>
      <c r="H4" s="24"/>
      <c r="I4" s="19"/>
      <c r="J4" s="19"/>
      <c r="K4" s="2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row>
    <row r="5" spans="1:85" s="25" customFormat="1" ht="30" customHeight="1">
      <c r="A5" s="17"/>
      <c r="B5" s="65"/>
      <c r="C5" s="64" t="s">
        <v>1</v>
      </c>
      <c r="D5" s="68"/>
      <c r="E5" s="67"/>
      <c r="F5" s="67"/>
      <c r="G5" s="63"/>
      <c r="H5" s="62" t="s">
        <v>2</v>
      </c>
      <c r="I5" s="63"/>
      <c r="J5" s="63"/>
      <c r="K5" s="62" t="s">
        <v>3</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row>
    <row r="6" spans="1:85" s="25" customFormat="1" ht="30" customHeight="1" thickBot="1">
      <c r="A6" s="17"/>
      <c r="B6" s="65"/>
      <c r="C6" s="174" t="s">
        <v>5</v>
      </c>
      <c r="D6" s="175"/>
      <c r="E6" s="69"/>
      <c r="F6" s="69"/>
      <c r="G6" s="77"/>
      <c r="H6" s="77"/>
      <c r="I6" s="77"/>
      <c r="J6" s="77"/>
      <c r="K6" s="77"/>
      <c r="L6" s="78" t="s">
        <v>6</v>
      </c>
      <c r="M6" s="78" t="s">
        <v>7</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row>
    <row r="7" spans="1:85" s="25" customFormat="1" ht="30" customHeight="1" thickBot="1">
      <c r="A7" s="17"/>
      <c r="B7" s="65"/>
      <c r="C7" s="70" t="s">
        <v>8</v>
      </c>
      <c r="D7" s="117"/>
      <c r="E7" s="118"/>
      <c r="F7" s="71"/>
      <c r="G7" s="77"/>
      <c r="H7" s="83" t="s">
        <v>9</v>
      </c>
      <c r="I7" s="84">
        <f>IF(OR(D9&lt;15,$D$9&gt;(Variables!B22-1)),0,MIN($D$11*$D$10*Variables!$L$7,Variables!B10))</f>
        <v>0</v>
      </c>
      <c r="J7" s="79"/>
      <c r="K7" s="83" t="s">
        <v>10</v>
      </c>
      <c r="L7" s="85">
        <f>M7/52</f>
        <v>0</v>
      </c>
      <c r="M7" s="86">
        <f>IF(I7=0,0,(VLOOKUP($D$9,'D&amp;TPD-Rates'!B:D,2)*I7/10000))</f>
        <v>0</v>
      </c>
      <c r="N7" s="32"/>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row>
    <row r="8" spans="1:85" s="25" customFormat="1" ht="30" customHeight="1" thickBot="1">
      <c r="A8" s="17"/>
      <c r="B8" s="65"/>
      <c r="C8" s="70" t="s">
        <v>12</v>
      </c>
      <c r="D8" s="117"/>
      <c r="E8" s="118"/>
      <c r="F8" s="71"/>
      <c r="G8" s="77"/>
      <c r="H8" s="90" t="s">
        <v>13</v>
      </c>
      <c r="I8" s="153">
        <f>IF(OR(D9&lt;15,$D$9&gt;(Variables!B23-1)),0,MIN($D$11*$D$10*Variables!$L$7,Variables!B10))</f>
        <v>0</v>
      </c>
      <c r="J8" s="79"/>
      <c r="K8" s="96" t="s">
        <v>14</v>
      </c>
      <c r="L8" s="99">
        <f>M8/52</f>
        <v>0</v>
      </c>
      <c r="M8" s="97">
        <f>IF(I8=0,0,(VLOOKUP($D$9,'D&amp;TPD-Rates'!B:D,3)*I8/10000))</f>
        <v>0</v>
      </c>
      <c r="N8" s="32"/>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row>
    <row r="9" spans="1:85" s="25" customFormat="1" ht="41.25" customHeight="1" thickBot="1">
      <c r="A9" s="17"/>
      <c r="B9" s="65"/>
      <c r="C9" s="70" t="s">
        <v>15</v>
      </c>
      <c r="D9" s="119" t="str">
        <f>IF(OR(D7="",D8=""),"",DATEDIF(D8,D7,"y"))</f>
        <v/>
      </c>
      <c r="E9" s="120"/>
      <c r="F9" s="72"/>
      <c r="G9" s="77"/>
      <c r="H9" s="186" t="str">
        <f>IF(AND(Variables!B12&gt;0,D9&gt;14),CONCATENATE("Your calculated cover has been limited to the Automatic Acceptance Limits,", Variables!D12,Variables!D15,".")," ")</f>
        <v xml:space="preserve"> </v>
      </c>
      <c r="I9" s="186"/>
      <c r="J9" s="79"/>
      <c r="K9" s="90" t="s">
        <v>19</v>
      </c>
      <c r="L9" s="94">
        <f>M9/52</f>
        <v>0</v>
      </c>
      <c r="M9" s="95">
        <f>M8+M7</f>
        <v>0</v>
      </c>
      <c r="N9" s="3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row>
    <row r="10" spans="1:85" s="25" customFormat="1" ht="30" customHeight="1" thickBot="1">
      <c r="A10" s="17"/>
      <c r="B10" s="65"/>
      <c r="C10" s="70" t="s">
        <v>22</v>
      </c>
      <c r="D10" s="121"/>
      <c r="E10" s="118"/>
      <c r="F10" s="72"/>
      <c r="G10" s="77"/>
      <c r="H10" s="83" t="str">
        <f>CONCATENATE("Additional Death Cover", IF(D16&gt;I10, " *",""))</f>
        <v>Additional Death Cover</v>
      </c>
      <c r="I10" s="84">
        <f>IF(OR(D9&lt;15,D9&gt;(Variables!B24-1)),0,IF(D16="",0,MIN(D16,Variables!B15)))</f>
        <v>0</v>
      </c>
      <c r="J10" s="79"/>
      <c r="K10" s="147"/>
      <c r="L10" s="147"/>
      <c r="M10" s="147"/>
      <c r="N10" s="172"/>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row>
    <row r="11" spans="1:85" s="25" customFormat="1" ht="30" customHeight="1" thickBot="1">
      <c r="A11" s="17"/>
      <c r="B11" s="65"/>
      <c r="C11" s="70" t="s">
        <v>93</v>
      </c>
      <c r="D11" s="169">
        <v>0.15</v>
      </c>
      <c r="E11" s="118"/>
      <c r="F11" s="73"/>
      <c r="G11" s="77"/>
      <c r="H11" s="92" t="str">
        <f>CONCATENATE("Additional TPD Cover", IF(D17&gt;I11, " *",""))</f>
        <v>Additional TPD Cover</v>
      </c>
      <c r="I11" s="93">
        <f>IF(OR(D9&lt;15,D9&gt;(Variables!B25-1)),0,IF(D17="",0,MIN(D17,Variables!B16)))</f>
        <v>0</v>
      </c>
      <c r="J11" s="79"/>
      <c r="K11" s="77"/>
      <c r="L11" s="80"/>
      <c r="M11" s="80"/>
      <c r="N11" s="172"/>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row>
    <row r="12" spans="1:85" s="25" customFormat="1" ht="30" customHeight="1">
      <c r="A12" s="17"/>
      <c r="B12" s="65"/>
      <c r="C12" s="65"/>
      <c r="D12" s="65"/>
      <c r="E12" s="65"/>
      <c r="F12" s="73"/>
      <c r="G12" s="77"/>
      <c r="H12" s="144" t="str">
        <f>IF(OR(I13=Variables!B8,I14=Variables!B9),"* Additional cover limited by maximum cover levels","")</f>
        <v/>
      </c>
      <c r="I12" s="17"/>
      <c r="J12" s="79"/>
      <c r="K12" s="141" t="s">
        <v>79</v>
      </c>
      <c r="L12" s="85">
        <f>M12/52</f>
        <v>0</v>
      </c>
      <c r="M12" s="86">
        <f>IF(I10=0,0,(VLOOKUP($D$9,'D&amp;TPD-Rates'!B:D,2))*I10/10000)</f>
        <v>0</v>
      </c>
      <c r="N12" s="40"/>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row>
    <row r="13" spans="1:85" s="25" customFormat="1" ht="35.15" customHeight="1">
      <c r="A13" s="17"/>
      <c r="B13" s="65"/>
      <c r="C13" s="65"/>
      <c r="D13" s="65"/>
      <c r="E13" s="65"/>
      <c r="F13" s="65"/>
      <c r="G13" s="81"/>
      <c r="H13" s="83" t="s">
        <v>26</v>
      </c>
      <c r="I13" s="89">
        <f>I7+I10</f>
        <v>0</v>
      </c>
      <c r="J13" s="77"/>
      <c r="K13" s="100" t="s">
        <v>27</v>
      </c>
      <c r="L13" s="99">
        <f>M13/52</f>
        <v>0</v>
      </c>
      <c r="M13" s="97">
        <f>IF(I11=0,0,(VLOOKUP($D$9,'D&amp;TPD-Rates'!B:D,3)*I11/10000))</f>
        <v>0</v>
      </c>
      <c r="N13" s="43"/>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row>
    <row r="14" spans="1:85" s="25" customFormat="1" ht="30" customHeight="1" thickBot="1">
      <c r="A14" s="17"/>
      <c r="B14" s="65"/>
      <c r="C14" s="65"/>
      <c r="D14" s="65"/>
      <c r="E14" s="67"/>
      <c r="F14" s="72"/>
      <c r="G14" s="77"/>
      <c r="H14" s="90" t="s">
        <v>29</v>
      </c>
      <c r="I14" s="91">
        <f>I8+I11</f>
        <v>0</v>
      </c>
      <c r="J14" s="77"/>
      <c r="K14" s="101" t="s">
        <v>30</v>
      </c>
      <c r="L14" s="102">
        <f>M14/52</f>
        <v>0</v>
      </c>
      <c r="M14" s="103">
        <f>M13+M12</f>
        <v>0</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row>
    <row r="15" spans="1:85" s="25" customFormat="1" ht="30" customHeight="1" thickBot="1">
      <c r="A15" s="17"/>
      <c r="B15" s="65"/>
      <c r="C15" s="177" t="s">
        <v>85</v>
      </c>
      <c r="D15" s="177"/>
      <c r="E15" s="67"/>
      <c r="F15" s="74"/>
      <c r="G15" s="77"/>
      <c r="H15" s="17"/>
      <c r="I15" s="17"/>
      <c r="J15" s="79"/>
      <c r="K15" s="77"/>
      <c r="L15" s="80"/>
      <c r="M15" s="80"/>
      <c r="N15" s="19"/>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row>
    <row r="16" spans="1:85" s="25" customFormat="1" ht="30" customHeight="1" thickBot="1">
      <c r="A16" s="17"/>
      <c r="B16" s="65"/>
      <c r="C16" s="75" t="s">
        <v>18</v>
      </c>
      <c r="D16" s="122"/>
      <c r="E16" s="123"/>
      <c r="F16" s="76"/>
      <c r="G16" s="81"/>
      <c r="H16" s="83" t="s">
        <v>87</v>
      </c>
      <c r="I16" s="88">
        <f>L19</f>
        <v>0</v>
      </c>
      <c r="J16" s="80"/>
      <c r="K16" s="150"/>
      <c r="L16" s="151"/>
      <c r="M16" s="152"/>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1:85" s="25" customFormat="1" ht="30" customHeight="1" thickBot="1">
      <c r="A17" s="17"/>
      <c r="B17" s="65"/>
      <c r="C17" s="75" t="s">
        <v>23</v>
      </c>
      <c r="D17" s="122"/>
      <c r="E17" s="123"/>
      <c r="F17" s="76"/>
      <c r="G17" s="81"/>
      <c r="H17" s="90" t="s">
        <v>31</v>
      </c>
      <c r="I17" s="91">
        <f>M19</f>
        <v>0</v>
      </c>
      <c r="J17" s="87"/>
      <c r="K17" s="98" t="s">
        <v>32</v>
      </c>
      <c r="L17" s="148">
        <f>M17/52</f>
        <v>0</v>
      </c>
      <c r="M17" s="149">
        <f>M7+M12</f>
        <v>0</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row>
    <row r="18" spans="1:85" s="25" customFormat="1" ht="34.5" customHeight="1">
      <c r="A18" s="17"/>
      <c r="B18" s="76"/>
      <c r="C18" s="178" t="str">
        <f>IF(D17&gt;0,CONCATENATE("From age 61, Additional TPD cover reduced annually by ",Variables!B20,"% of your insured benefit at age 60, until your ",Variables!B25,"th birthday when cover ceases."),"")</f>
        <v/>
      </c>
      <c r="D18" s="178"/>
      <c r="E18" s="67"/>
      <c r="F18" s="76"/>
      <c r="G18" s="80"/>
      <c r="H18" s="187"/>
      <c r="I18" s="187"/>
      <c r="J18" s="87"/>
      <c r="K18" s="83" t="s">
        <v>33</v>
      </c>
      <c r="L18" s="85">
        <f>M18/52</f>
        <v>0</v>
      </c>
      <c r="M18" s="89">
        <f>M8+M13</f>
        <v>0</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row>
    <row r="19" spans="1:85" s="25" customFormat="1" ht="34.5" customHeight="1" thickBot="1">
      <c r="A19" s="17"/>
      <c r="B19" s="76"/>
      <c r="C19" s="140"/>
      <c r="D19" s="140"/>
      <c r="E19" s="67"/>
      <c r="F19" s="76"/>
      <c r="G19" s="80"/>
      <c r="H19" s="179" t="s">
        <v>89</v>
      </c>
      <c r="I19" s="179"/>
      <c r="J19" s="87"/>
      <c r="K19" s="90" t="s">
        <v>88</v>
      </c>
      <c r="L19" s="94">
        <f>M19/52</f>
        <v>0</v>
      </c>
      <c r="M19" s="91">
        <f>M16+M17+M18</f>
        <v>0</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row>
    <row r="20" spans="1:85" s="164" customFormat="1" ht="39.75" customHeight="1">
      <c r="A20" s="155"/>
      <c r="B20" s="158"/>
      <c r="C20" s="158"/>
      <c r="D20" s="158"/>
      <c r="E20" s="158"/>
      <c r="F20" s="158"/>
      <c r="G20" s="154"/>
      <c r="H20" s="176" t="s">
        <v>86</v>
      </c>
      <c r="I20" s="176"/>
      <c r="J20" s="159"/>
      <c r="K20" s="160"/>
      <c r="L20" s="160"/>
      <c r="M20" s="160"/>
      <c r="N20" s="161"/>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row>
    <row r="21" spans="1:85" s="25" customFormat="1" ht="41.5" customHeight="1">
      <c r="A21" s="17"/>
      <c r="B21" s="17"/>
      <c r="C21" s="19"/>
      <c r="D21" s="19"/>
      <c r="E21" s="19"/>
      <c r="F21" s="19"/>
      <c r="G21" s="80"/>
      <c r="H21" s="173" t="str">
        <f>IF(Variables!B12&gt;0,"3. Should you wish to apply for Standard Cover above the Automatic Acceptance Levels please contact Australian Retirement Trust on 13 11 84 for details on how to proceed. Any increase in cover is subject to acceptance by the insurer."," ")</f>
        <v xml:space="preserve"> </v>
      </c>
      <c r="I21" s="173"/>
      <c r="J21" s="87"/>
      <c r="K21" s="147"/>
      <c r="L21" s="147"/>
      <c r="M21" s="147"/>
      <c r="N21" s="31"/>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row>
    <row r="22" spans="1:85" s="17" customFormat="1" ht="3.5" customHeight="1">
      <c r="C22" s="19"/>
      <c r="D22" s="19"/>
      <c r="E22" s="19"/>
      <c r="F22" s="19"/>
      <c r="G22" s="80"/>
      <c r="J22" s="80"/>
      <c r="K22" s="77"/>
      <c r="L22" s="80"/>
      <c r="M22" s="80"/>
      <c r="N22" s="31"/>
    </row>
    <row r="23" spans="1:85" s="25" customFormat="1" ht="3.5" customHeight="1">
      <c r="A23" s="17"/>
      <c r="B23" s="17"/>
      <c r="C23" s="19"/>
      <c r="D23" s="19"/>
      <c r="E23" s="19"/>
      <c r="F23" s="19"/>
      <c r="G23" s="19"/>
      <c r="H23" s="147"/>
      <c r="I23" s="147"/>
      <c r="J23" s="19"/>
      <c r="K23" s="19"/>
      <c r="L23" s="17"/>
      <c r="M23" s="17"/>
      <c r="N23" s="31"/>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row>
    <row r="24" spans="1:85" s="25" customFormat="1" ht="3.5" customHeight="1">
      <c r="A24" s="17"/>
      <c r="B24" s="17"/>
      <c r="C24" s="19"/>
      <c r="D24" s="19"/>
      <c r="E24" s="19"/>
      <c r="F24" s="19"/>
      <c r="G24" s="19"/>
      <c r="H24" s="147"/>
      <c r="I24" s="147"/>
      <c r="J24" s="46"/>
      <c r="K24" s="48"/>
      <c r="L24" s="48"/>
      <c r="M24" s="48"/>
      <c r="N24" s="48"/>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row>
    <row r="25" spans="1:85" s="25" customFormat="1" ht="3.5" customHeight="1">
      <c r="A25" s="17"/>
      <c r="B25" s="17"/>
      <c r="C25" s="49"/>
      <c r="D25" s="49"/>
      <c r="E25" s="49"/>
      <c r="F25" s="49"/>
      <c r="G25" s="19"/>
      <c r="H25" s="126"/>
      <c r="I25" s="126"/>
      <c r="J25" s="46"/>
      <c r="K25" s="48"/>
      <c r="L25" s="48"/>
      <c r="M25" s="48"/>
      <c r="N25" s="48"/>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row>
    <row r="26" spans="1:85" s="25" customFormat="1" ht="29.25" customHeight="1">
      <c r="A26" s="17"/>
      <c r="B26" s="17"/>
      <c r="C26" s="82" t="str">
        <f>CONCATENATE("For ",Variables!B5)</f>
        <v>For Permanent employees (including employees on a fixed term contract no less than six months)</v>
      </c>
      <c r="D26" s="49"/>
      <c r="E26" s="49"/>
      <c r="F26" s="49"/>
      <c r="G26" s="46"/>
      <c r="H26" s="46"/>
      <c r="I26" s="46"/>
      <c r="J26" s="46"/>
      <c r="K26" s="48"/>
      <c r="L26" s="48"/>
      <c r="M26" s="48"/>
      <c r="N26" s="48"/>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row>
    <row r="27" spans="1:85" s="25" customFormat="1" ht="28.5" customHeight="1">
      <c r="A27" s="35"/>
      <c r="B27" s="17"/>
      <c r="C27" s="179" t="str">
        <f>CONCATENATE("If you are an eligible employee (refer to your Super Savings - ",Variables!D2,"), you will automatically receive default cover up to the Automatic Acceptance Limits detailed below, unless you decide to opt out of cover. The amount of cover provided is also dependent on your age and 'salary'.")</f>
        <v>If you are an eligible employee (refer to your Super Savings - Corporate Insurance Guide), you will automatically receive default cover up to the Automatic Acceptance Limits detailed below, unless you decide to opt out of cover. The amount of cover provided is also dependent on your age and 'salary'.</v>
      </c>
      <c r="D27" s="179"/>
      <c r="E27" s="179"/>
      <c r="F27" s="179"/>
      <c r="G27" s="179"/>
      <c r="H27" s="179"/>
      <c r="I27" s="179"/>
      <c r="J27" s="50"/>
      <c r="K27" s="50"/>
      <c r="L27" s="50"/>
      <c r="M27" s="51"/>
      <c r="N27" s="35"/>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row>
    <row r="28" spans="1:85" s="25" customFormat="1" ht="20.149999999999999" customHeight="1">
      <c r="A28" s="35"/>
      <c r="B28" s="17"/>
      <c r="C28" s="132" t="s">
        <v>49</v>
      </c>
      <c r="D28" s="133">
        <f>Variables!B18</f>
        <v>1500000</v>
      </c>
      <c r="E28" s="55"/>
      <c r="F28" s="55"/>
      <c r="G28" s="55"/>
      <c r="H28" s="55"/>
      <c r="I28" s="55"/>
      <c r="J28" s="55"/>
      <c r="K28" s="55"/>
      <c r="L28" s="55"/>
      <c r="M28" s="51"/>
      <c r="N28" s="35"/>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row>
    <row r="29" spans="1:85" s="53" customFormat="1" ht="22.5" customHeight="1">
      <c r="A29" s="35"/>
      <c r="B29" s="17"/>
      <c r="C29" s="185" t="s">
        <v>53</v>
      </c>
      <c r="D29" s="185"/>
      <c r="E29" s="185"/>
      <c r="F29" s="185"/>
      <c r="G29" s="185"/>
      <c r="H29" s="185"/>
      <c r="I29" s="185"/>
      <c r="J29" s="55"/>
      <c r="K29" s="55"/>
      <c r="L29" s="55"/>
      <c r="M29" s="51"/>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row>
    <row r="30" spans="1:85" s="53" customFormat="1" ht="14.15" customHeight="1">
      <c r="A30" s="35"/>
      <c r="B30" s="17"/>
      <c r="C30" s="176" t="s">
        <v>52</v>
      </c>
      <c r="D30" s="176"/>
      <c r="E30" s="176"/>
      <c r="F30" s="176"/>
      <c r="G30" s="176"/>
      <c r="H30" s="176"/>
      <c r="I30" s="176"/>
      <c r="J30" s="55"/>
      <c r="K30" s="55"/>
      <c r="L30" s="55"/>
      <c r="M30" s="51"/>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row>
    <row r="31" spans="1:85" s="53" customFormat="1" ht="12.65" customHeight="1">
      <c r="A31" s="35"/>
      <c r="B31" s="17"/>
      <c r="C31" s="54"/>
      <c r="D31" s="55"/>
      <c r="E31" s="55"/>
      <c r="F31" s="55"/>
      <c r="G31" s="55"/>
      <c r="H31" s="55"/>
      <c r="I31" s="55"/>
      <c r="J31" s="55"/>
      <c r="K31" s="55"/>
      <c r="L31" s="55"/>
      <c r="M31" s="51"/>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row>
    <row r="32" spans="1:85" s="53" customFormat="1" ht="21" customHeight="1">
      <c r="A32" s="35"/>
      <c r="B32" s="17"/>
      <c r="C32" s="82" t="s">
        <v>36</v>
      </c>
      <c r="D32" s="55"/>
      <c r="E32" s="55"/>
      <c r="F32" s="55"/>
      <c r="G32" s="55"/>
      <c r="H32" s="55"/>
      <c r="I32" s="55"/>
      <c r="J32" s="55"/>
      <c r="K32" s="56"/>
      <c r="L32" s="56"/>
      <c r="M32" s="51"/>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row>
    <row r="33" spans="1:85" s="53" customFormat="1" ht="67.5" customHeight="1">
      <c r="A33" s="57"/>
      <c r="B33" s="35"/>
      <c r="C33" s="183" t="s">
        <v>94</v>
      </c>
      <c r="D33" s="183"/>
      <c r="E33" s="183"/>
      <c r="F33" s="183"/>
      <c r="G33" s="183"/>
      <c r="H33" s="183"/>
      <c r="I33" s="183"/>
      <c r="J33" s="183"/>
      <c r="K33" s="58"/>
      <c r="L33" s="58"/>
      <c r="M33" s="59"/>
      <c r="N33" s="57"/>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row>
    <row r="34" spans="1:85" s="53" customFormat="1" ht="38.5" customHeight="1">
      <c r="A34" s="57"/>
      <c r="B34" s="35"/>
      <c r="C34" s="182" t="s">
        <v>37</v>
      </c>
      <c r="D34" s="182"/>
      <c r="E34" s="182"/>
      <c r="F34" s="182"/>
      <c r="G34" s="182"/>
      <c r="H34" s="182"/>
      <c r="I34" s="182"/>
      <c r="J34" s="182"/>
      <c r="K34" s="58"/>
      <c r="L34" s="58"/>
      <c r="M34" s="59"/>
      <c r="N34" s="57"/>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row>
    <row r="35" spans="1:85" s="60" customFormat="1" ht="53.5" customHeight="1">
      <c r="A35" s="57"/>
      <c r="B35" s="57"/>
      <c r="C35" s="182" t="s">
        <v>38</v>
      </c>
      <c r="D35" s="182"/>
      <c r="E35" s="182"/>
      <c r="F35" s="182"/>
      <c r="G35" s="182"/>
      <c r="H35" s="182"/>
      <c r="I35" s="182"/>
      <c r="J35" s="182"/>
      <c r="K35" s="58"/>
      <c r="L35" s="58"/>
      <c r="M35" s="59"/>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row>
    <row r="36" spans="1:85" s="60" customFormat="1" ht="27.65" customHeight="1">
      <c r="A36" s="57"/>
      <c r="B36" s="57"/>
      <c r="C36" s="184" t="s">
        <v>39</v>
      </c>
      <c r="D36" s="184"/>
      <c r="E36" s="184"/>
      <c r="F36" s="184"/>
      <c r="G36" s="184"/>
      <c r="H36" s="184"/>
      <c r="I36" s="184"/>
      <c r="J36" s="184"/>
      <c r="K36" s="184"/>
      <c r="L36" s="184"/>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row>
    <row r="37" spans="1:85" s="60" customFormat="1" ht="18" customHeight="1">
      <c r="A37" s="57"/>
      <c r="B37" s="57"/>
      <c r="C37" s="55" t="s">
        <v>95</v>
      </c>
      <c r="D37" s="125"/>
      <c r="E37" s="125"/>
      <c r="F37" s="125"/>
      <c r="G37" s="125"/>
      <c r="H37" s="125"/>
      <c r="I37" s="125"/>
      <c r="J37" s="125"/>
      <c r="K37" s="125"/>
      <c r="L37" s="125"/>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row>
    <row r="38" spans="1:85" s="60" customFormat="1" ht="18" customHeight="1">
      <c r="A38" s="17"/>
      <c r="B38" s="57"/>
      <c r="C38" s="59"/>
      <c r="D38" s="55"/>
      <c r="E38" s="55"/>
      <c r="F38" s="55"/>
      <c r="G38" s="55"/>
      <c r="H38" s="55"/>
      <c r="I38" s="55"/>
      <c r="J38" s="55"/>
      <c r="K38" s="19"/>
      <c r="L38" s="17"/>
      <c r="M38" s="17"/>
      <c r="N38" s="1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row>
    <row r="39" spans="1:85" s="60" customFormat="1" ht="18" hidden="1" customHeight="1">
      <c r="A39" s="17"/>
      <c r="B39" s="57"/>
      <c r="C39" s="180"/>
      <c r="D39" s="180"/>
      <c r="E39" s="180"/>
      <c r="F39" s="180"/>
      <c r="G39" s="180"/>
      <c r="H39" s="180"/>
      <c r="I39" s="180"/>
      <c r="J39" s="180"/>
      <c r="K39" s="19"/>
      <c r="L39" s="17"/>
      <c r="M39" s="17"/>
      <c r="N39" s="1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row>
    <row r="40" spans="1:85" s="25" customFormat="1" ht="14.5" hidden="1" customHeight="1">
      <c r="A40" s="17"/>
      <c r="B40" s="17"/>
      <c r="C40" s="180"/>
      <c r="D40" s="180"/>
      <c r="E40" s="180"/>
      <c r="F40" s="180"/>
      <c r="G40" s="180"/>
      <c r="H40" s="180"/>
      <c r="I40" s="180"/>
      <c r="J40" s="180"/>
      <c r="K40" s="19"/>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row>
    <row r="41" spans="1:85" s="25" customFormat="1" ht="45" hidden="1" customHeight="1">
      <c r="A41" s="17"/>
      <c r="B41" s="17"/>
      <c r="C41" s="181"/>
      <c r="D41" s="181"/>
      <c r="E41" s="181"/>
      <c r="F41" s="181"/>
      <c r="G41" s="181"/>
      <c r="H41" s="181"/>
      <c r="I41" s="181"/>
      <c r="J41" s="181"/>
      <c r="K41" s="19"/>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row>
    <row r="42" spans="1:85" s="25" customFormat="1" ht="14.5" hidden="1" customHeight="1">
      <c r="A42" s="17"/>
      <c r="B42" s="17"/>
      <c r="C42" s="19"/>
      <c r="D42" s="55"/>
      <c r="E42" s="55"/>
      <c r="F42" s="55"/>
      <c r="G42" s="55"/>
      <c r="H42" s="55"/>
      <c r="I42" s="55"/>
      <c r="J42" s="55"/>
      <c r="K42" s="19"/>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1:85" s="25" customFormat="1" ht="14" hidden="1">
      <c r="A43" s="17"/>
      <c r="B43" s="17"/>
      <c r="C43" s="19"/>
      <c r="D43" s="55"/>
      <c r="E43" s="55"/>
      <c r="F43" s="55"/>
      <c r="G43" s="55"/>
      <c r="H43" s="55"/>
      <c r="I43" s="55"/>
      <c r="J43" s="55"/>
      <c r="K43" s="19"/>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row>
    <row r="44" spans="1:85" s="25" customFormat="1" ht="14" hidden="1">
      <c r="A44" s="17"/>
      <c r="B44" s="17"/>
      <c r="C44" s="19"/>
      <c r="D44" s="55"/>
      <c r="E44" s="55"/>
      <c r="F44" s="55"/>
      <c r="G44" s="55"/>
      <c r="H44" s="55"/>
      <c r="I44" s="55"/>
      <c r="J44" s="55"/>
      <c r="K44" s="19"/>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row>
    <row r="45" spans="1:85" s="25" customFormat="1" ht="14" hidden="1">
      <c r="A45" s="17"/>
      <c r="B45" s="17"/>
      <c r="C45" s="19"/>
      <c r="D45" s="55"/>
      <c r="E45" s="55"/>
      <c r="F45" s="55"/>
      <c r="G45" s="55"/>
      <c r="H45" s="55"/>
      <c r="I45" s="55"/>
      <c r="J45" s="55"/>
      <c r="K45" s="19"/>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row>
    <row r="46" spans="1:85" s="25" customFormat="1" ht="14" hidden="1">
      <c r="A46" s="17"/>
      <c r="B46" s="17"/>
      <c r="C46" s="19"/>
      <c r="D46" s="55"/>
      <c r="E46" s="55"/>
      <c r="F46" s="55"/>
      <c r="G46" s="55"/>
      <c r="H46" s="55"/>
      <c r="I46" s="55"/>
      <c r="J46" s="55"/>
      <c r="K46" s="19"/>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row>
    <row r="47" spans="1:85" s="25" customFormat="1" ht="14" hidden="1">
      <c r="A47" s="17"/>
      <c r="B47" s="17"/>
      <c r="C47" s="19"/>
      <c r="D47" s="55"/>
      <c r="E47" s="55"/>
      <c r="F47" s="55"/>
      <c r="G47" s="55"/>
      <c r="H47" s="55"/>
      <c r="I47" s="55"/>
      <c r="J47" s="55"/>
      <c r="K47" s="19"/>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row>
    <row r="48" spans="1:85" s="25" customFormat="1" ht="14" hidden="1">
      <c r="A48" s="17"/>
      <c r="B48" s="17"/>
      <c r="C48" s="19"/>
      <c r="D48" s="55"/>
      <c r="E48" s="55"/>
      <c r="F48" s="55"/>
      <c r="G48" s="55"/>
      <c r="H48" s="55"/>
      <c r="I48" s="55"/>
      <c r="J48" s="55"/>
      <c r="K48" s="19"/>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row>
    <row r="49" spans="1:85" s="25" customFormat="1" ht="14" hidden="1">
      <c r="A49" s="17"/>
      <c r="B49" s="17"/>
      <c r="C49" s="19"/>
      <c r="D49" s="55"/>
      <c r="E49" s="55"/>
      <c r="F49" s="55"/>
      <c r="G49" s="55"/>
      <c r="H49" s="55"/>
      <c r="I49" s="55"/>
      <c r="J49" s="55"/>
      <c r="K49" s="19"/>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row>
    <row r="50" spans="1:85" s="25" customFormat="1" ht="14" hidden="1">
      <c r="A50" s="17"/>
      <c r="B50" s="17"/>
      <c r="C50" s="19"/>
      <c r="D50" s="55"/>
      <c r="E50" s="55"/>
      <c r="F50" s="55"/>
      <c r="G50" s="55"/>
      <c r="H50" s="55"/>
      <c r="I50" s="55"/>
      <c r="J50" s="55"/>
      <c r="K50" s="19"/>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row>
    <row r="51" spans="1:85" s="25" customFormat="1" ht="14" hidden="1">
      <c r="A51" s="17"/>
      <c r="B51" s="17"/>
      <c r="C51" s="19"/>
      <c r="D51" s="55"/>
      <c r="E51" s="55"/>
      <c r="F51" s="55"/>
      <c r="G51" s="55"/>
      <c r="H51" s="55"/>
      <c r="I51" s="55"/>
      <c r="J51" s="55"/>
      <c r="K51" s="19"/>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row>
    <row r="52" spans="1:85" s="25" customFormat="1" ht="14" hidden="1">
      <c r="A52" s="17"/>
      <c r="B52" s="17"/>
      <c r="C52" s="19"/>
      <c r="D52" s="55"/>
      <c r="E52" s="55"/>
      <c r="F52" s="55"/>
      <c r="G52" s="55"/>
      <c r="H52" s="55"/>
      <c r="I52" s="55"/>
      <c r="J52" s="55"/>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row>
    <row r="53" spans="1:85" s="25" customFormat="1" ht="14" hidden="1">
      <c r="A53" s="17"/>
      <c r="B53" s="17"/>
      <c r="C53" s="19"/>
      <c r="D53" s="19"/>
      <c r="E53" s="19"/>
      <c r="F53" s="19"/>
      <c r="G53" s="19"/>
      <c r="H53" s="19"/>
      <c r="I53" s="19"/>
      <c r="J53" s="19"/>
      <c r="K53" s="19"/>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row>
    <row r="54" spans="1:85" s="25" customFormat="1" ht="14" hidden="1">
      <c r="A54" s="17"/>
      <c r="B54" s="17"/>
      <c r="C54" s="17"/>
      <c r="D54" s="17"/>
      <c r="E54" s="17"/>
      <c r="F54" s="17"/>
      <c r="G54" s="19"/>
      <c r="H54" s="19"/>
      <c r="I54" s="19"/>
      <c r="J54" s="19"/>
      <c r="K54" s="19"/>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row>
    <row r="55" spans="1:85" s="25" customFormat="1" ht="14" hidden="1">
      <c r="A55" s="17"/>
      <c r="B55" s="17"/>
      <c r="C55" s="19"/>
      <c r="D55" s="19"/>
      <c r="E55" s="19"/>
      <c r="F55" s="19"/>
      <c r="G55" s="19"/>
      <c r="H55" s="19"/>
      <c r="I55" s="19"/>
      <c r="J55" s="19"/>
      <c r="K55" s="19"/>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row>
    <row r="56" spans="1:85" s="25" customFormat="1" ht="14" hidden="1">
      <c r="A56" s="17"/>
      <c r="B56" s="17"/>
      <c r="C56" s="19"/>
      <c r="D56" s="19"/>
      <c r="E56" s="19"/>
      <c r="F56" s="19"/>
      <c r="G56" s="19"/>
      <c r="H56" s="19"/>
      <c r="I56" s="19"/>
      <c r="J56" s="19"/>
      <c r="K56" s="19"/>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row>
    <row r="57" spans="1:85" s="25" customFormat="1" ht="14" hidden="1">
      <c r="A57" s="17"/>
      <c r="B57" s="17"/>
      <c r="C57" s="19"/>
      <c r="D57" s="19"/>
      <c r="E57" s="19"/>
      <c r="F57" s="19"/>
      <c r="G57" s="19"/>
      <c r="H57" s="19"/>
      <c r="I57" s="19"/>
      <c r="J57" s="19"/>
      <c r="K57" s="19"/>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row>
    <row r="58" spans="1:85" s="25" customFormat="1" ht="14" hidden="1">
      <c r="A58" s="17"/>
      <c r="B58" s="17"/>
      <c r="C58" s="19"/>
      <c r="D58" s="19"/>
      <c r="E58" s="19"/>
      <c r="F58" s="19"/>
      <c r="G58" s="19"/>
      <c r="H58" s="19"/>
      <c r="I58" s="19"/>
      <c r="J58" s="19"/>
      <c r="K58" s="19"/>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row>
    <row r="59" spans="1:85" s="25" customFormat="1" ht="14" hidden="1">
      <c r="A59" s="17"/>
      <c r="B59" s="17"/>
      <c r="C59" s="19"/>
      <c r="D59" s="19"/>
      <c r="E59" s="19"/>
      <c r="F59" s="19"/>
      <c r="G59" s="19"/>
      <c r="H59" s="19"/>
      <c r="I59" s="19"/>
      <c r="J59" s="19"/>
      <c r="K59" s="19"/>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row>
    <row r="60" spans="1:85" s="25" customFormat="1" hidden="1">
      <c r="A60" s="14"/>
      <c r="B60" s="14"/>
      <c r="C60" s="15"/>
      <c r="D60" s="15"/>
      <c r="E60" s="15"/>
      <c r="F60" s="15"/>
      <c r="G60" s="15"/>
      <c r="H60" s="15"/>
      <c r="I60" s="15"/>
      <c r="J60" s="15"/>
      <c r="K60" s="15"/>
      <c r="L60" s="14"/>
      <c r="M60" s="14"/>
      <c r="N60" s="14"/>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row>
    <row r="61" spans="1:85" s="25" customFormat="1" hidden="1">
      <c r="A61" s="14"/>
      <c r="B61" s="14"/>
      <c r="C61" s="15"/>
      <c r="D61" s="15"/>
      <c r="E61" s="15"/>
      <c r="F61" s="15"/>
      <c r="G61" s="15"/>
      <c r="H61" s="15"/>
      <c r="I61" s="15"/>
      <c r="J61" s="15"/>
      <c r="K61" s="15"/>
      <c r="L61" s="14"/>
      <c r="M61" s="14"/>
      <c r="N61" s="14"/>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row>
  </sheetData>
  <sheetProtection algorithmName="SHA-512" hashValue="N6/L2G0la/HsMsBGx6hBNfQzqje5rPIdp73janyeQuczZ/iGTF+y/yRg44YFk/7vM0HB3DBh2qM6Il6KnQVFGg==" saltValue="EpDIr07+N+S6mFkBdbnUgg==" spinCount="100000" sheet="1" objects="1" selectLockedCells="1"/>
  <mergeCells count="19">
    <mergeCell ref="C30:I30"/>
    <mergeCell ref="C29:I29"/>
    <mergeCell ref="C27:I27"/>
    <mergeCell ref="H9:I9"/>
    <mergeCell ref="H18:I18"/>
    <mergeCell ref="C40:J40"/>
    <mergeCell ref="C41:J41"/>
    <mergeCell ref="C35:J35"/>
    <mergeCell ref="C33:J33"/>
    <mergeCell ref="C34:J34"/>
    <mergeCell ref="C36:L36"/>
    <mergeCell ref="C39:J39"/>
    <mergeCell ref="N10:N11"/>
    <mergeCell ref="H21:I21"/>
    <mergeCell ref="C6:D6"/>
    <mergeCell ref="H20:I20"/>
    <mergeCell ref="C15:D15"/>
    <mergeCell ref="C18:D18"/>
    <mergeCell ref="H19:I19"/>
  </mergeCells>
  <conditionalFormatting sqref="D11">
    <cfRule type="expression" dxfId="6" priority="1">
      <formula>MOD(A1,1)&gt;0</formula>
    </cfRule>
  </conditionalFormatting>
  <conditionalFormatting sqref="N9:N10 N13">
    <cfRule type="expression" dxfId="5" priority="16">
      <formula>A10="yes"</formula>
    </cfRule>
    <cfRule type="expression" dxfId="4" priority="17" stopIfTrue="1">
      <formula>"d14=""yes"""</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Variables!$E$6:$E$10</xm:f>
          </x14:formula1>
          <xm:sqref>F15</xm:sqref>
        </x14:dataValidation>
        <x14:dataValidation type="list" allowBlank="1" showInputMessage="1" showErrorMessage="1" xr:uid="{00000000-0002-0000-0000-000003000000}">
          <x14:formula1>
            <xm:f>Variables!$E$8:$E$13</xm:f>
          </x14:formula1>
          <xm:sqref>D15</xm:sqref>
        </x14:dataValidation>
        <x14:dataValidation type="list" allowBlank="1" showInputMessage="1" showErrorMessage="1" xr:uid="{505D65DE-8D8A-4CBB-9550-1F164ED6692D}">
          <x14:formula1>
            <xm:f>Variables!$E$8:$E$11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6091-37E9-41D6-80D5-B159CD403947}">
  <dimension ref="A1:N27"/>
  <sheetViews>
    <sheetView topLeftCell="A2" zoomScale="75" workbookViewId="0">
      <selection activeCell="C18" sqref="C18:D18"/>
    </sheetView>
  </sheetViews>
  <sheetFormatPr defaultRowHeight="14.5"/>
  <cols>
    <col min="1" max="1" width="24.26953125" bestFit="1" customWidth="1"/>
    <col min="2" max="2" width="90.54296875" bestFit="1" customWidth="1"/>
    <col min="4" max="4" width="39.54296875" customWidth="1"/>
    <col min="10" max="10" width="7.81640625" customWidth="1"/>
    <col min="11" max="11" width="18.36328125" customWidth="1"/>
    <col min="12" max="12" width="10.1796875" bestFit="1" customWidth="1"/>
  </cols>
  <sheetData>
    <row r="1" spans="1:14">
      <c r="A1" s="28" t="s">
        <v>44</v>
      </c>
      <c r="B1" s="17"/>
      <c r="C1" s="17"/>
      <c r="D1" s="17"/>
      <c r="E1" s="20"/>
      <c r="F1" s="17"/>
      <c r="G1" s="17"/>
      <c r="H1" s="17"/>
      <c r="I1" s="17"/>
      <c r="J1" s="17"/>
      <c r="K1" s="17"/>
      <c r="L1" s="17"/>
      <c r="M1" s="17"/>
      <c r="N1" s="17"/>
    </row>
    <row r="2" spans="1:14">
      <c r="A2" s="127" t="s">
        <v>48</v>
      </c>
      <c r="B2" s="107" t="s">
        <v>80</v>
      </c>
      <c r="C2" s="17"/>
      <c r="D2" s="17" t="str">
        <f>IF(B2="Corporate","Corporate Insurance Guide", "Business Insurance Guide and Plan Information Factsheet")</f>
        <v>Corporate Insurance Guide</v>
      </c>
      <c r="E2" s="20"/>
      <c r="F2" s="17"/>
      <c r="G2" s="17"/>
      <c r="H2" s="17"/>
      <c r="I2" s="17"/>
      <c r="J2" s="17"/>
      <c r="K2" s="17"/>
      <c r="L2" s="17"/>
      <c r="M2" s="17"/>
      <c r="N2" s="17"/>
    </row>
    <row r="3" spans="1:14">
      <c r="A3" s="127" t="s">
        <v>45</v>
      </c>
      <c r="B3" s="128" t="s">
        <v>90</v>
      </c>
      <c r="C3" s="107"/>
      <c r="D3" s="17"/>
      <c r="E3" s="20"/>
      <c r="F3" s="17"/>
      <c r="G3" s="17"/>
      <c r="H3" s="17"/>
      <c r="I3" s="17"/>
      <c r="J3" s="17"/>
      <c r="K3" s="17"/>
      <c r="L3" s="17"/>
      <c r="M3" s="17"/>
      <c r="N3" s="17"/>
    </row>
    <row r="4" spans="1:14">
      <c r="A4" s="127" t="s">
        <v>46</v>
      </c>
      <c r="B4" s="128" t="s">
        <v>91</v>
      </c>
      <c r="C4" s="107"/>
      <c r="D4" s="17"/>
      <c r="E4" s="20"/>
      <c r="F4" s="17"/>
      <c r="G4" s="17"/>
      <c r="H4" s="17"/>
      <c r="I4" s="17"/>
      <c r="J4" s="17"/>
      <c r="K4" s="17"/>
      <c r="L4" s="17"/>
      <c r="M4" s="17"/>
      <c r="N4" s="17"/>
    </row>
    <row r="5" spans="1:14">
      <c r="A5" s="131" t="s">
        <v>47</v>
      </c>
      <c r="B5" s="130" t="s">
        <v>50</v>
      </c>
      <c r="C5" s="107"/>
      <c r="D5" s="107"/>
      <c r="E5" s="104"/>
      <c r="F5" s="107"/>
      <c r="G5" s="107"/>
      <c r="H5" s="17"/>
      <c r="I5" s="17"/>
      <c r="J5" s="17"/>
      <c r="K5" s="26" t="s">
        <v>4</v>
      </c>
      <c r="L5" s="171">
        <f>B22</f>
        <v>65</v>
      </c>
      <c r="M5" s="17"/>
      <c r="N5" s="17"/>
    </row>
    <row r="6" spans="1:14">
      <c r="A6" s="129" t="s">
        <v>51</v>
      </c>
      <c r="B6" s="136" t="s">
        <v>92</v>
      </c>
      <c r="C6" s="107"/>
      <c r="D6" s="17"/>
      <c r="E6" s="135" t="s">
        <v>65</v>
      </c>
      <c r="F6" s="17"/>
      <c r="G6" s="17"/>
      <c r="H6" s="17"/>
      <c r="I6" s="17"/>
      <c r="J6" s="17"/>
      <c r="K6" s="170" t="s">
        <v>96</v>
      </c>
      <c r="L6" s="30">
        <f>DATE(YEAR('Insurance Calculator'!D8) +L5,MONTH('Insurance Calculator'!D8),DAY('Insurance Calculator'!D8))</f>
        <v>23742</v>
      </c>
      <c r="N6" s="17"/>
    </row>
    <row r="7" spans="1:14">
      <c r="A7" s="131" t="s">
        <v>63</v>
      </c>
      <c r="B7" s="106" t="s">
        <v>58</v>
      </c>
      <c r="C7" s="17"/>
      <c r="D7" s="17"/>
      <c r="E7" s="17"/>
      <c r="F7" s="17"/>
      <c r="G7" s="17"/>
      <c r="H7" s="33" t="s">
        <v>11</v>
      </c>
      <c r="I7" s="17"/>
      <c r="J7" s="17"/>
      <c r="K7" s="170" t="s">
        <v>97</v>
      </c>
      <c r="L7" s="34">
        <f>DATEDIF('Insurance Calculator'!D7,Variables!L6,"y")+(DATEDIF('Insurance Calculator'!D7,Variables!L6,"yd")/365)</f>
        <v>65.0027397260274</v>
      </c>
      <c r="M7" s="17"/>
      <c r="N7" s="17"/>
    </row>
    <row r="8" spans="1:14">
      <c r="A8" s="35" t="s">
        <v>64</v>
      </c>
      <c r="B8" s="108">
        <f>VLOOKUP(B7,Checklist!B3:F9,3, FALSE)</f>
        <v>10000000</v>
      </c>
      <c r="C8" s="32"/>
      <c r="D8" s="17"/>
      <c r="E8" s="167">
        <v>0.05</v>
      </c>
      <c r="F8" s="17"/>
      <c r="G8" s="17"/>
      <c r="H8" s="17"/>
      <c r="I8" s="36"/>
      <c r="J8" s="17"/>
      <c r="K8" s="29"/>
      <c r="L8" s="37"/>
      <c r="M8" s="17"/>
      <c r="N8" s="17"/>
    </row>
    <row r="9" spans="1:14" ht="18">
      <c r="A9" s="35" t="s">
        <v>16</v>
      </c>
      <c r="B9" s="108">
        <f>VLOOKUP(B7,Checklist!B3:F9,4,FALSE)</f>
        <v>3000000</v>
      </c>
      <c r="C9" s="38"/>
      <c r="D9" s="142"/>
      <c r="E9" s="167">
        <v>0.1</v>
      </c>
      <c r="F9" s="17"/>
      <c r="G9" s="17"/>
      <c r="H9" s="17" t="s">
        <v>17</v>
      </c>
      <c r="I9" s="17"/>
      <c r="J9" s="17"/>
      <c r="K9" s="39"/>
      <c r="L9" s="17"/>
      <c r="M9" s="17"/>
      <c r="N9" s="17"/>
    </row>
    <row r="10" spans="1:14">
      <c r="A10" s="35" t="s">
        <v>20</v>
      </c>
      <c r="B10" s="41">
        <f>B18</f>
        <v>1500000</v>
      </c>
      <c r="C10" s="40"/>
      <c r="D10" s="17"/>
      <c r="E10" s="167">
        <v>0.15</v>
      </c>
      <c r="F10" s="17"/>
      <c r="G10" s="17"/>
      <c r="H10" s="17" t="s">
        <v>21</v>
      </c>
      <c r="I10" s="17"/>
      <c r="J10" s="17"/>
      <c r="K10" s="39"/>
      <c r="L10" s="17"/>
      <c r="M10" s="17"/>
      <c r="N10" s="17"/>
    </row>
    <row r="11" spans="1:14">
      <c r="A11" s="143" t="s">
        <v>81</v>
      </c>
      <c r="B11" s="41">
        <f>IF(B8="unlimited", "", ROUND(MIN(IF(OR('Insurance Calculator'!$D$9&gt;(B22-1),'Insurance Calculator'!$D$9&lt;15),0,('Insurance Calculator'!$D$11*'Insurance Calculator'!$D$10*$L$7)),B8),0))</f>
        <v>0</v>
      </c>
      <c r="C11" s="40"/>
      <c r="D11" s="17"/>
      <c r="E11" s="168">
        <v>0.20499999999999999</v>
      </c>
      <c r="F11" s="17"/>
      <c r="G11" s="17"/>
      <c r="H11" s="17"/>
      <c r="I11" s="17"/>
      <c r="J11" s="17"/>
      <c r="K11" s="39"/>
      <c r="L11" s="17"/>
      <c r="M11" s="17"/>
      <c r="N11" s="17"/>
    </row>
    <row r="12" spans="1:14">
      <c r="A12" s="35" t="s">
        <v>24</v>
      </c>
      <c r="B12" s="108">
        <f>IF(B8="unlimited",ROUND(MIN(IF(OR('Insurance Calculator'!$D$9&gt;(B22-1),'Insurance Calculator'!$D$9&lt;15),0,('Insurance Calculator'!$D$11*'Insurance Calculator'!$D$10*$L$7))-'Insurance Calculator'!I7),0),ROUND(B11-'Insurance Calculator'!I7,0))</f>
        <v>0</v>
      </c>
      <c r="C12" s="40"/>
      <c r="D12" s="42" t="str">
        <f>IF(B12&gt;0,CONCATENATE(" you are eligible to apply for extra Death cover of $",B12,D14,".")," ")</f>
        <v xml:space="preserve"> </v>
      </c>
      <c r="E12" s="105"/>
      <c r="F12" s="17"/>
      <c r="G12" s="17"/>
      <c r="H12" s="17"/>
      <c r="I12" s="17"/>
      <c r="J12" s="17"/>
      <c r="K12" s="39"/>
      <c r="L12" s="17"/>
      <c r="M12" s="17"/>
      <c r="N12" s="17"/>
    </row>
    <row r="13" spans="1:14" ht="18">
      <c r="A13" s="35" t="s">
        <v>25</v>
      </c>
      <c r="B13" s="41">
        <f>ROUND(MIN(IF(OR('Insurance Calculator'!$D$9&gt;(B22-1),'Insurance Calculator'!$D$9&lt;15),0,('Insurance Calculator'!$D$11*'Insurance Calculator'!$D$10*$L$7)),B9),0)</f>
        <v>0</v>
      </c>
      <c r="C13" s="43"/>
      <c r="D13" s="44"/>
      <c r="E13" s="105"/>
      <c r="F13" s="17"/>
      <c r="G13" s="17"/>
      <c r="H13" s="17"/>
      <c r="I13" s="17"/>
      <c r="J13" s="194"/>
      <c r="K13" s="195"/>
      <c r="L13" s="17"/>
      <c r="M13" s="17"/>
      <c r="N13" s="17"/>
    </row>
    <row r="14" spans="1:14">
      <c r="A14" s="35" t="s">
        <v>28</v>
      </c>
      <c r="B14" s="108">
        <f>ROUND(B13-'Insurance Calculator'!I8,0)</f>
        <v>0</v>
      </c>
      <c r="C14" s="17"/>
      <c r="D14" s="42" t="str">
        <f>IF(B14&gt;0,CONCATENATE(" and TPD cover of $",B14)," ")</f>
        <v xml:space="preserve"> </v>
      </c>
      <c r="E14" s="20"/>
      <c r="F14" s="17"/>
      <c r="G14" s="17"/>
      <c r="H14" s="17"/>
      <c r="I14" s="17"/>
      <c r="J14" s="194"/>
      <c r="K14" s="195"/>
      <c r="L14" s="17"/>
      <c r="M14" s="17"/>
      <c r="N14" s="17"/>
    </row>
    <row r="15" spans="1:14">
      <c r="A15" s="143" t="s">
        <v>82</v>
      </c>
      <c r="B15" s="41">
        <f>IF(B8="unlimited", "", B8-'Insurance Calculator'!I7)</f>
        <v>10000000</v>
      </c>
      <c r="C15" s="17"/>
      <c r="D15" s="19" t="str">
        <f>IF(B10&gt;0," Evidence of health may be required"," ")</f>
        <v xml:space="preserve"> Evidence of health may be required</v>
      </c>
      <c r="E15" s="145"/>
      <c r="F15" s="17"/>
      <c r="G15" s="17"/>
      <c r="H15" s="45"/>
      <c r="I15" s="17"/>
      <c r="J15" s="194"/>
      <c r="K15" s="195"/>
      <c r="L15" s="17"/>
      <c r="M15" s="17"/>
      <c r="N15" s="17"/>
    </row>
    <row r="16" spans="1:14">
      <c r="A16" s="143" t="s">
        <v>83</v>
      </c>
      <c r="B16" s="108">
        <f>B9-'Insurance Calculator'!I8</f>
        <v>3000000</v>
      </c>
      <c r="C16" s="17"/>
      <c r="D16" s="19"/>
      <c r="E16" s="146"/>
      <c r="F16" s="17"/>
      <c r="G16" s="17"/>
      <c r="H16" s="45"/>
      <c r="I16" s="17"/>
      <c r="J16" s="194"/>
      <c r="K16" s="195"/>
      <c r="L16" s="17"/>
      <c r="M16" s="17"/>
      <c r="N16" s="17"/>
    </row>
    <row r="17" spans="1:14">
      <c r="A17" s="17"/>
      <c r="B17" s="27" t="s">
        <v>20</v>
      </c>
      <c r="C17" s="47"/>
      <c r="D17" s="17"/>
      <c r="E17" s="20"/>
      <c r="F17" s="17"/>
      <c r="G17" s="47"/>
      <c r="H17" s="45"/>
      <c r="I17" s="17"/>
      <c r="J17" s="194"/>
      <c r="K17" s="195"/>
      <c r="L17" s="17"/>
      <c r="M17" s="17"/>
      <c r="N17" s="17"/>
    </row>
    <row r="18" spans="1:14">
      <c r="A18" s="35" t="s">
        <v>34</v>
      </c>
      <c r="B18" s="106">
        <v>1500000</v>
      </c>
      <c r="C18" s="31"/>
      <c r="D18" s="17"/>
      <c r="E18" s="20"/>
      <c r="F18" s="17"/>
      <c r="G18" s="17"/>
      <c r="H18" s="45"/>
      <c r="I18" s="17"/>
      <c r="J18" s="194"/>
      <c r="K18" s="195"/>
      <c r="L18" s="17"/>
      <c r="M18" s="17"/>
      <c r="N18" s="17"/>
    </row>
    <row r="19" spans="1:14">
      <c r="A19" s="17"/>
      <c r="B19" s="127" t="s">
        <v>55</v>
      </c>
      <c r="C19" s="31"/>
      <c r="D19" s="17"/>
      <c r="E19" s="162"/>
      <c r="F19" s="17"/>
      <c r="G19" s="17"/>
      <c r="H19" s="45"/>
      <c r="I19" s="17"/>
      <c r="J19" s="194"/>
      <c r="K19" s="195"/>
      <c r="L19" s="17"/>
      <c r="M19" s="17"/>
      <c r="N19" s="17"/>
    </row>
    <row r="20" spans="1:14">
      <c r="A20" s="155" t="s">
        <v>54</v>
      </c>
      <c r="B20" s="156" t="s">
        <v>56</v>
      </c>
      <c r="C20" s="157"/>
      <c r="D20" s="155"/>
      <c r="E20" s="20"/>
      <c r="F20" s="155"/>
      <c r="G20" s="155"/>
      <c r="H20" s="163"/>
      <c r="I20" s="155"/>
      <c r="J20" s="194"/>
      <c r="K20" s="195"/>
      <c r="L20" s="155"/>
      <c r="M20" s="155"/>
      <c r="N20" s="155"/>
    </row>
    <row r="21" spans="1:14">
      <c r="A21" s="17"/>
      <c r="B21" s="127" t="s">
        <v>77</v>
      </c>
      <c r="C21" s="48"/>
      <c r="D21" s="17"/>
      <c r="E21" s="20"/>
      <c r="F21" s="17"/>
      <c r="G21" s="17"/>
      <c r="H21" s="17"/>
      <c r="I21" s="17"/>
      <c r="J21" s="194"/>
      <c r="K21" s="195"/>
      <c r="L21" s="17"/>
      <c r="M21" s="17"/>
      <c r="N21" s="17"/>
    </row>
    <row r="22" spans="1:14">
      <c r="A22" s="35" t="s">
        <v>75</v>
      </c>
      <c r="B22" s="134">
        <v>65</v>
      </c>
      <c r="C22" s="48"/>
      <c r="D22" s="17"/>
      <c r="E22" s="20"/>
      <c r="F22" s="17"/>
      <c r="G22" s="17"/>
      <c r="H22" s="17"/>
      <c r="I22" s="17"/>
      <c r="J22" s="194"/>
      <c r="K22" s="195"/>
      <c r="L22" s="17"/>
      <c r="M22" s="17"/>
      <c r="N22" s="17"/>
    </row>
    <row r="23" spans="1:14">
      <c r="A23" s="35" t="s">
        <v>76</v>
      </c>
      <c r="B23" s="134">
        <v>65</v>
      </c>
      <c r="C23" s="48"/>
      <c r="D23" s="17"/>
      <c r="E23" s="20"/>
      <c r="F23" s="17"/>
      <c r="G23" s="17"/>
      <c r="H23" s="17"/>
      <c r="I23" s="17"/>
      <c r="J23" s="194"/>
      <c r="K23" s="195"/>
      <c r="L23" s="17"/>
      <c r="M23" s="17"/>
      <c r="N23" s="17"/>
    </row>
    <row r="24" spans="1:14">
      <c r="A24" s="35" t="s">
        <v>73</v>
      </c>
      <c r="B24" s="134">
        <v>70</v>
      </c>
      <c r="C24" s="48"/>
      <c r="D24" s="17"/>
      <c r="E24" s="20"/>
      <c r="F24" s="17"/>
      <c r="G24" s="17"/>
      <c r="H24" s="17"/>
      <c r="I24" s="17"/>
      <c r="J24" s="17"/>
      <c r="K24" s="195"/>
      <c r="L24" s="17"/>
      <c r="M24" s="17"/>
      <c r="N24" s="17"/>
    </row>
    <row r="25" spans="1:14">
      <c r="A25" s="35" t="s">
        <v>74</v>
      </c>
      <c r="B25" s="134">
        <v>67</v>
      </c>
      <c r="C25" s="48"/>
      <c r="D25" s="17"/>
      <c r="E25" s="20"/>
      <c r="F25" s="17"/>
      <c r="G25" s="17"/>
      <c r="H25" s="17"/>
      <c r="I25" s="17"/>
      <c r="J25" s="17"/>
      <c r="K25" s="195"/>
      <c r="L25" s="17"/>
      <c r="M25" s="17"/>
      <c r="N25" s="17"/>
    </row>
    <row r="26" spans="1:14">
      <c r="A26" s="147"/>
      <c r="B26" s="147"/>
      <c r="C26" s="147"/>
      <c r="D26" s="147"/>
      <c r="E26" s="20"/>
      <c r="F26" s="17"/>
      <c r="G26" s="17"/>
      <c r="H26" s="17"/>
      <c r="I26" s="17"/>
      <c r="J26" s="17"/>
      <c r="K26" s="17"/>
      <c r="L26" s="17"/>
      <c r="M26" s="17"/>
      <c r="N26" s="17"/>
    </row>
    <row r="27" spans="1:14">
      <c r="A27" s="147"/>
      <c r="B27" s="147"/>
      <c r="C27" s="35"/>
      <c r="D27" s="35"/>
      <c r="E27" s="52"/>
      <c r="F27" s="17"/>
      <c r="G27" s="17"/>
      <c r="H27" s="17"/>
      <c r="I27" s="17"/>
      <c r="J27" s="17"/>
      <c r="K27" s="17"/>
      <c r="L27" s="17"/>
      <c r="M27" s="17"/>
      <c r="N27" s="17"/>
    </row>
  </sheetData>
  <conditionalFormatting sqref="C9:C11">
    <cfRule type="expression" dxfId="3" priority="3">
      <formula>XER10="yes"</formula>
    </cfRule>
    <cfRule type="expression" dxfId="2" priority="4" stopIfTrue="1">
      <formula>"d14=""yes"""</formula>
    </cfRule>
  </conditionalFormatting>
  <conditionalFormatting sqref="C13">
    <cfRule type="expression" dxfId="1" priority="1">
      <formula>XER14="yes"</formula>
    </cfRule>
    <cfRule type="expression" dxfId="0" priority="2" stopIfTrue="1">
      <formula>"d14=""yes"""</formula>
    </cfRule>
  </conditionalFormatting>
  <dataValidations count="3">
    <dataValidation type="list" allowBlank="1" showInputMessage="1" showErrorMessage="1" sqref="B22:B25" xr:uid="{1C9F2FF7-F9CB-4586-90EF-264B8592D6D1}">
      <formula1>"65, 67, 70"</formula1>
    </dataValidation>
    <dataValidation type="list" allowBlank="1" showInputMessage="1" showErrorMessage="1" sqref="B20" xr:uid="{BD3B119C-22F5-47F6-9D86-C5276614035A}">
      <formula1>"10, 20"</formula1>
    </dataValidation>
    <dataValidation type="list" allowBlank="1" showInputMessage="1" showErrorMessage="1" sqref="B2" xr:uid="{4E28A325-1F4C-40A8-A082-A928BDA7926A}">
      <formula1>"Corporate, Business"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E2EAFFB-A8D0-465C-9CCA-D09660854B10}">
          <x14:formula1>
            <xm:f>Checklist!$B$4:$B$9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2"/>
  <sheetViews>
    <sheetView topLeftCell="A43" zoomScale="66" workbookViewId="0">
      <selection activeCell="C18" sqref="C18:D18"/>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4" ht="13">
      <c r="A1" s="9"/>
      <c r="B1" s="5"/>
    </row>
    <row r="2" spans="1:4" ht="13">
      <c r="B2" s="5"/>
      <c r="D2" s="165"/>
    </row>
    <row r="3" spans="1:4" ht="13">
      <c r="B3" s="139" t="s">
        <v>78</v>
      </c>
    </row>
    <row r="4" spans="1:4">
      <c r="C4" s="6"/>
      <c r="D4" s="6"/>
    </row>
    <row r="5" spans="1:4" ht="16.5" customHeight="1">
      <c r="D5" s="3"/>
    </row>
    <row r="6" spans="1:4">
      <c r="B6" s="6" t="s">
        <v>84</v>
      </c>
      <c r="D6" s="3"/>
    </row>
    <row r="7" spans="1:4">
      <c r="D7" s="3"/>
    </row>
    <row r="8" spans="1:4" ht="13">
      <c r="B8" s="5"/>
      <c r="D8" s="3"/>
    </row>
    <row r="9" spans="1:4" ht="15.75" customHeight="1">
      <c r="B9" s="188" t="s">
        <v>40</v>
      </c>
      <c r="C9" s="166" t="s">
        <v>41</v>
      </c>
      <c r="D9" s="166" t="s">
        <v>42</v>
      </c>
    </row>
    <row r="10" spans="1:4" ht="13">
      <c r="B10" s="189"/>
      <c r="C10" s="124" t="s">
        <v>98</v>
      </c>
      <c r="D10" s="124" t="s">
        <v>98</v>
      </c>
    </row>
    <row r="11" spans="1:4" ht="14.5">
      <c r="A11" s="7"/>
      <c r="B11" s="109">
        <v>15</v>
      </c>
      <c r="C11" s="110">
        <v>3.6</v>
      </c>
      <c r="D11" s="110">
        <v>1.4</v>
      </c>
    </row>
    <row r="12" spans="1:4" ht="14.5">
      <c r="A12" s="7"/>
      <c r="B12" s="111">
        <v>16</v>
      </c>
      <c r="C12" s="112">
        <v>4.4000000000000004</v>
      </c>
      <c r="D12" s="112">
        <v>1.7</v>
      </c>
    </row>
    <row r="13" spans="1:4" ht="14.5">
      <c r="A13" s="7"/>
      <c r="B13" s="111">
        <v>17</v>
      </c>
      <c r="C13" s="112">
        <v>5.2</v>
      </c>
      <c r="D13" s="112">
        <v>2.2000000000000002</v>
      </c>
    </row>
    <row r="14" spans="1:4" ht="14.5">
      <c r="A14" s="7"/>
      <c r="B14" s="111">
        <v>18</v>
      </c>
      <c r="C14" s="112">
        <v>5.9</v>
      </c>
      <c r="D14" s="112">
        <v>3.2</v>
      </c>
    </row>
    <row r="15" spans="1:4" ht="14.5">
      <c r="A15" s="7"/>
      <c r="B15" s="111">
        <v>19</v>
      </c>
      <c r="C15" s="112">
        <v>6.4</v>
      </c>
      <c r="D15" s="112">
        <v>4.4000000000000004</v>
      </c>
    </row>
    <row r="16" spans="1:4" ht="14.5">
      <c r="A16" s="7"/>
      <c r="B16" s="111">
        <v>20</v>
      </c>
      <c r="C16" s="112">
        <v>6.8</v>
      </c>
      <c r="D16" s="112">
        <v>4.4000000000000004</v>
      </c>
    </row>
    <row r="17" spans="1:4" ht="14.5">
      <c r="A17" s="7"/>
      <c r="B17" s="111">
        <v>21</v>
      </c>
      <c r="C17" s="112">
        <v>6.8</v>
      </c>
      <c r="D17" s="112">
        <v>4.0999999999999996</v>
      </c>
    </row>
    <row r="18" spans="1:4" ht="14.5">
      <c r="A18" s="7"/>
      <c r="B18" s="111">
        <v>22</v>
      </c>
      <c r="C18" s="112">
        <v>6.9</v>
      </c>
      <c r="D18" s="112">
        <v>3.7</v>
      </c>
    </row>
    <row r="19" spans="1:4" ht="14.5">
      <c r="A19" s="7"/>
      <c r="B19" s="111">
        <v>23</v>
      </c>
      <c r="C19" s="112">
        <v>6.9</v>
      </c>
      <c r="D19" s="112">
        <v>3.5</v>
      </c>
    </row>
    <row r="20" spans="1:4" ht="14.5">
      <c r="A20" s="7"/>
      <c r="B20" s="111">
        <v>24</v>
      </c>
      <c r="C20" s="112">
        <v>6.9</v>
      </c>
      <c r="D20" s="112">
        <v>3.2</v>
      </c>
    </row>
    <row r="21" spans="1:4" ht="14.5">
      <c r="A21" s="7"/>
      <c r="B21" s="111">
        <v>25</v>
      </c>
      <c r="C21" s="112">
        <v>6.4</v>
      </c>
      <c r="D21" s="112">
        <v>3.7</v>
      </c>
    </row>
    <row r="22" spans="1:4" ht="14.5">
      <c r="A22" s="7"/>
      <c r="B22" s="111">
        <v>26</v>
      </c>
      <c r="C22" s="112">
        <v>6.3</v>
      </c>
      <c r="D22" s="112">
        <v>3.6</v>
      </c>
    </row>
    <row r="23" spans="1:4" ht="14.5">
      <c r="A23" s="7"/>
      <c r="B23" s="111">
        <v>27</v>
      </c>
      <c r="C23" s="112">
        <v>6.3</v>
      </c>
      <c r="D23" s="112">
        <v>3.5</v>
      </c>
    </row>
    <row r="24" spans="1:4" ht="14.5">
      <c r="A24" s="7"/>
      <c r="B24" s="111">
        <v>28</v>
      </c>
      <c r="C24" s="112">
        <v>6.3</v>
      </c>
      <c r="D24" s="112">
        <v>3.1</v>
      </c>
    </row>
    <row r="25" spans="1:4" ht="14.5">
      <c r="A25" s="7"/>
      <c r="B25" s="111">
        <v>29</v>
      </c>
      <c r="C25" s="112">
        <v>6.3</v>
      </c>
      <c r="D25" s="112">
        <v>3.6</v>
      </c>
    </row>
    <row r="26" spans="1:4" ht="14.5">
      <c r="A26" s="7"/>
      <c r="B26" s="111">
        <v>30</v>
      </c>
      <c r="C26" s="112">
        <v>6.2</v>
      </c>
      <c r="D26" s="112">
        <v>3.7</v>
      </c>
    </row>
    <row r="27" spans="1:4" ht="14.5">
      <c r="A27" s="7"/>
      <c r="B27" s="111">
        <v>31</v>
      </c>
      <c r="C27" s="112">
        <v>6.2</v>
      </c>
      <c r="D27" s="112">
        <v>5</v>
      </c>
    </row>
    <row r="28" spans="1:4" ht="14.5">
      <c r="A28" s="7"/>
      <c r="B28" s="111">
        <v>32</v>
      </c>
      <c r="C28" s="112">
        <v>6.2</v>
      </c>
      <c r="D28" s="112">
        <v>5.5</v>
      </c>
    </row>
    <row r="29" spans="1:4" ht="14.5">
      <c r="A29" s="7"/>
      <c r="B29" s="111">
        <v>33</v>
      </c>
      <c r="C29" s="112">
        <v>6.4</v>
      </c>
      <c r="D29" s="112">
        <v>5.7</v>
      </c>
    </row>
    <row r="30" spans="1:4" ht="14.5">
      <c r="A30" s="7"/>
      <c r="B30" s="111">
        <v>34</v>
      </c>
      <c r="C30" s="112">
        <v>6.6</v>
      </c>
      <c r="D30" s="112">
        <v>6.4</v>
      </c>
    </row>
    <row r="31" spans="1:4" ht="14.5">
      <c r="A31" s="7"/>
      <c r="B31" s="111">
        <v>35</v>
      </c>
      <c r="C31" s="112">
        <v>6.6</v>
      </c>
      <c r="D31" s="112">
        <v>7.1</v>
      </c>
    </row>
    <row r="32" spans="1:4" ht="14.5">
      <c r="A32" s="7"/>
      <c r="B32" s="111">
        <v>36</v>
      </c>
      <c r="C32" s="112">
        <v>6.6</v>
      </c>
      <c r="D32" s="112">
        <v>7.9</v>
      </c>
    </row>
    <row r="33" spans="1:4" ht="14.5">
      <c r="A33" s="7"/>
      <c r="B33" s="111">
        <v>37</v>
      </c>
      <c r="C33" s="112">
        <v>6.6</v>
      </c>
      <c r="D33" s="112">
        <v>8.8000000000000007</v>
      </c>
    </row>
    <row r="34" spans="1:4" ht="14.5">
      <c r="A34" s="7"/>
      <c r="B34" s="111">
        <v>38</v>
      </c>
      <c r="C34" s="112">
        <v>6.8</v>
      </c>
      <c r="D34" s="112">
        <v>9.8000000000000007</v>
      </c>
    </row>
    <row r="35" spans="1:4" ht="14.5">
      <c r="A35" s="7"/>
      <c r="B35" s="111">
        <v>39</v>
      </c>
      <c r="C35" s="112">
        <v>7.3</v>
      </c>
      <c r="D35" s="112">
        <v>11.3</v>
      </c>
    </row>
    <row r="36" spans="1:4" ht="14.5">
      <c r="A36" s="7"/>
      <c r="B36" s="111">
        <v>40</v>
      </c>
      <c r="C36" s="112">
        <v>8.1</v>
      </c>
      <c r="D36" s="112">
        <v>12.2</v>
      </c>
    </row>
    <row r="37" spans="1:4" ht="14.5">
      <c r="A37" s="7"/>
      <c r="B37" s="111">
        <v>41</v>
      </c>
      <c r="C37" s="112">
        <v>8.6999999999999993</v>
      </c>
      <c r="D37" s="112">
        <v>13.1</v>
      </c>
    </row>
    <row r="38" spans="1:4" ht="14.5">
      <c r="A38" s="7"/>
      <c r="B38" s="111">
        <v>42</v>
      </c>
      <c r="C38" s="112">
        <v>9.6</v>
      </c>
      <c r="D38" s="112">
        <v>14.1</v>
      </c>
    </row>
    <row r="39" spans="1:4" ht="14.5">
      <c r="A39" s="7"/>
      <c r="B39" s="111">
        <v>43</v>
      </c>
      <c r="C39" s="112">
        <v>10.8</v>
      </c>
      <c r="D39" s="112">
        <v>15.5</v>
      </c>
    </row>
    <row r="40" spans="1:4" ht="14.5">
      <c r="A40" s="7"/>
      <c r="B40" s="111">
        <v>44</v>
      </c>
      <c r="C40" s="112">
        <v>12.3</v>
      </c>
      <c r="D40" s="112">
        <v>17</v>
      </c>
    </row>
    <row r="41" spans="1:4" ht="14.5">
      <c r="A41" s="7"/>
      <c r="B41" s="111">
        <v>45</v>
      </c>
      <c r="C41" s="112">
        <v>13.5</v>
      </c>
      <c r="D41" s="112">
        <v>18.8</v>
      </c>
    </row>
    <row r="42" spans="1:4" ht="14.5">
      <c r="A42" s="7"/>
      <c r="B42" s="111">
        <v>46</v>
      </c>
      <c r="C42" s="112">
        <v>15</v>
      </c>
      <c r="D42" s="112">
        <v>20.8</v>
      </c>
    </row>
    <row r="43" spans="1:4" ht="14.5">
      <c r="A43" s="7"/>
      <c r="B43" s="111">
        <v>47</v>
      </c>
      <c r="C43" s="112">
        <v>16.3</v>
      </c>
      <c r="D43" s="112">
        <v>23.5</v>
      </c>
    </row>
    <row r="44" spans="1:4" ht="14.5">
      <c r="A44" s="7"/>
      <c r="B44" s="111">
        <v>48</v>
      </c>
      <c r="C44" s="112">
        <v>17.8</v>
      </c>
      <c r="D44" s="112">
        <v>26.6</v>
      </c>
    </row>
    <row r="45" spans="1:4" ht="14.5">
      <c r="A45" s="7"/>
      <c r="B45" s="111">
        <v>49</v>
      </c>
      <c r="C45" s="112">
        <v>19.399999999999999</v>
      </c>
      <c r="D45" s="112">
        <v>30.5</v>
      </c>
    </row>
    <row r="46" spans="1:4" ht="14.5">
      <c r="A46" s="7"/>
      <c r="B46" s="111">
        <v>50</v>
      </c>
      <c r="C46" s="112">
        <v>20.8</v>
      </c>
      <c r="D46" s="112">
        <v>35</v>
      </c>
    </row>
    <row r="47" spans="1:4" ht="14.5">
      <c r="A47" s="7"/>
      <c r="B47" s="111">
        <v>51</v>
      </c>
      <c r="C47" s="112">
        <v>22.5</v>
      </c>
      <c r="D47" s="112">
        <v>40</v>
      </c>
    </row>
    <row r="48" spans="1:4" ht="14.5">
      <c r="A48" s="7"/>
      <c r="B48" s="111">
        <v>52</v>
      </c>
      <c r="C48" s="112">
        <v>24.4</v>
      </c>
      <c r="D48" s="112">
        <v>45.7</v>
      </c>
    </row>
    <row r="49" spans="1:4" ht="14.5">
      <c r="A49" s="7"/>
      <c r="B49" s="111">
        <v>53</v>
      </c>
      <c r="C49" s="112">
        <v>26.5</v>
      </c>
      <c r="D49" s="112">
        <v>51.8</v>
      </c>
    </row>
    <row r="50" spans="1:4" ht="14.5">
      <c r="A50" s="7"/>
      <c r="B50" s="111">
        <v>54</v>
      </c>
      <c r="C50" s="112">
        <v>29.4</v>
      </c>
      <c r="D50" s="112">
        <v>59</v>
      </c>
    </row>
    <row r="51" spans="1:4" ht="14.5">
      <c r="A51" s="7"/>
      <c r="B51" s="111">
        <v>55</v>
      </c>
      <c r="C51" s="112">
        <v>32.9</v>
      </c>
      <c r="D51" s="112">
        <v>67.5</v>
      </c>
    </row>
    <row r="52" spans="1:4" ht="14.5">
      <c r="A52" s="7"/>
      <c r="B52" s="111">
        <v>56</v>
      </c>
      <c r="C52" s="112">
        <v>36.4</v>
      </c>
      <c r="D52" s="112">
        <v>75.8</v>
      </c>
    </row>
    <row r="53" spans="1:4" ht="14.5">
      <c r="A53" s="7"/>
      <c r="B53" s="111">
        <v>57</v>
      </c>
      <c r="C53" s="112">
        <v>40.299999999999997</v>
      </c>
      <c r="D53" s="112">
        <v>84.1</v>
      </c>
    </row>
    <row r="54" spans="1:4" ht="14.5">
      <c r="A54" s="7"/>
      <c r="B54" s="111">
        <v>58</v>
      </c>
      <c r="C54" s="112">
        <v>44.9</v>
      </c>
      <c r="D54" s="112">
        <v>93.7</v>
      </c>
    </row>
    <row r="55" spans="1:4" ht="14.5">
      <c r="A55" s="7"/>
      <c r="B55" s="111">
        <v>59</v>
      </c>
      <c r="C55" s="112">
        <v>49.3</v>
      </c>
      <c r="D55" s="112">
        <v>103.2</v>
      </c>
    </row>
    <row r="56" spans="1:4" ht="14.5">
      <c r="A56" s="7"/>
      <c r="B56" s="111">
        <v>60</v>
      </c>
      <c r="C56" s="112">
        <v>54.5</v>
      </c>
      <c r="D56" s="112">
        <v>113.9</v>
      </c>
    </row>
    <row r="57" spans="1:4" ht="14.5">
      <c r="A57" s="7"/>
      <c r="B57" s="111">
        <v>61</v>
      </c>
      <c r="C57" s="112">
        <v>60.5</v>
      </c>
      <c r="D57" s="112">
        <v>125.1</v>
      </c>
    </row>
    <row r="58" spans="1:4" ht="14.5">
      <c r="A58" s="7"/>
      <c r="B58" s="111">
        <v>62</v>
      </c>
      <c r="C58" s="112">
        <v>66.5</v>
      </c>
      <c r="D58" s="112">
        <v>138.4</v>
      </c>
    </row>
    <row r="59" spans="1:4" ht="14.5">
      <c r="A59" s="7"/>
      <c r="B59" s="111">
        <v>63</v>
      </c>
      <c r="C59" s="112">
        <v>73.2</v>
      </c>
      <c r="D59" s="112">
        <v>152.9</v>
      </c>
    </row>
    <row r="60" spans="1:4" ht="14.5">
      <c r="A60" s="7"/>
      <c r="B60" s="111">
        <v>64</v>
      </c>
      <c r="C60" s="112">
        <v>79.900000000000006</v>
      </c>
      <c r="D60" s="112">
        <v>169.9</v>
      </c>
    </row>
    <row r="61" spans="1:4" ht="14.5">
      <c r="A61" s="7"/>
      <c r="B61" s="111">
        <v>65</v>
      </c>
      <c r="C61" s="112">
        <v>87.9</v>
      </c>
      <c r="D61" s="112">
        <v>188.8</v>
      </c>
    </row>
    <row r="62" spans="1:4" ht="14.5">
      <c r="A62" s="7"/>
      <c r="B62" s="111">
        <v>66</v>
      </c>
      <c r="C62" s="112">
        <v>96.7</v>
      </c>
      <c r="D62" s="112">
        <v>209.8</v>
      </c>
    </row>
    <row r="63" spans="1:4" ht="14.5">
      <c r="A63" s="1"/>
      <c r="B63" s="111">
        <v>67</v>
      </c>
      <c r="C63" s="112">
        <v>106.3</v>
      </c>
      <c r="D63" s="113"/>
    </row>
    <row r="64" spans="1:4" ht="14.5">
      <c r="A64" s="1"/>
      <c r="B64" s="111">
        <v>68</v>
      </c>
      <c r="C64" s="112">
        <v>116.8</v>
      </c>
      <c r="D64" s="113"/>
    </row>
    <row r="65" spans="1:4" ht="14.5">
      <c r="A65" s="1"/>
      <c r="B65" s="114">
        <v>69</v>
      </c>
      <c r="C65" s="115">
        <v>128.19999999999999</v>
      </c>
      <c r="D65" s="116"/>
    </row>
    <row r="66" spans="1:4">
      <c r="A66" s="1"/>
      <c r="B66" s="1"/>
    </row>
    <row r="67" spans="1:4" ht="13">
      <c r="A67" s="10"/>
      <c r="B67" s="8"/>
    </row>
    <row r="68" spans="1:4" ht="13">
      <c r="A68" s="7"/>
      <c r="B68" s="7"/>
      <c r="C68" s="13"/>
      <c r="D68" s="11"/>
    </row>
    <row r="69" spans="1:4" ht="13">
      <c r="A69" s="7"/>
      <c r="B69" s="7"/>
      <c r="C69" s="13"/>
      <c r="D69" s="11"/>
    </row>
    <row r="70" spans="1:4" ht="13">
      <c r="A70" s="7"/>
      <c r="B70" s="7"/>
      <c r="C70" s="13"/>
      <c r="D70" s="11"/>
    </row>
    <row r="71" spans="1:4" ht="13">
      <c r="A71" s="7"/>
      <c r="B71" s="7"/>
      <c r="C71" s="13"/>
      <c r="D71" s="12"/>
    </row>
    <row r="72" spans="1:4">
      <c r="A72" s="7"/>
      <c r="B72" s="7"/>
    </row>
  </sheetData>
  <mergeCells count="1">
    <mergeCell ref="B9:B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workbookViewId="0">
      <selection activeCell="B9" sqref="B9:D10"/>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4" ht="13">
      <c r="A1" s="9"/>
      <c r="B1" s="5"/>
      <c r="D1" s="2"/>
    </row>
    <row r="2" spans="1:4" ht="13">
      <c r="B2" s="5"/>
    </row>
    <row r="3" spans="1:4">
      <c r="B3" s="6" t="s">
        <v>43</v>
      </c>
    </row>
    <row r="4" spans="1:4">
      <c r="C4" s="6"/>
      <c r="D4" s="6"/>
    </row>
    <row r="5" spans="1:4" ht="16.5" customHeight="1">
      <c r="D5" s="3"/>
    </row>
    <row r="6" spans="1:4">
      <c r="D6" s="3"/>
    </row>
    <row r="7" spans="1:4">
      <c r="D7" s="3"/>
    </row>
    <row r="8" spans="1:4" ht="13">
      <c r="B8" s="5"/>
      <c r="D8" s="3"/>
    </row>
    <row r="9" spans="1:4" ht="15" customHeight="1">
      <c r="B9" s="188" t="s">
        <v>40</v>
      </c>
      <c r="C9" s="190" t="s">
        <v>17</v>
      </c>
      <c r="D9" s="192" t="s">
        <v>21</v>
      </c>
    </row>
    <row r="10" spans="1:4">
      <c r="A10" s="7"/>
      <c r="B10" s="189"/>
      <c r="C10" s="191"/>
      <c r="D10" s="193"/>
    </row>
    <row r="11" spans="1:4" ht="14.5">
      <c r="A11" s="7"/>
      <c r="B11" s="109">
        <v>15</v>
      </c>
      <c r="C11" s="110">
        <v>0.88452000000000008</v>
      </c>
      <c r="D11" s="110">
        <v>1.0206000000000002</v>
      </c>
    </row>
    <row r="12" spans="1:4" ht="14.5">
      <c r="A12" s="7"/>
      <c r="B12" s="111">
        <v>16</v>
      </c>
      <c r="C12" s="112">
        <v>0.8958600000000001</v>
      </c>
      <c r="D12" s="112">
        <v>1.0432800000000002</v>
      </c>
    </row>
    <row r="13" spans="1:4" ht="14.5">
      <c r="A13" s="7"/>
      <c r="B13" s="111">
        <v>17</v>
      </c>
      <c r="C13" s="112">
        <v>0.8958600000000001</v>
      </c>
      <c r="D13" s="112">
        <v>1.0432800000000002</v>
      </c>
    </row>
    <row r="14" spans="1:4" ht="14.5">
      <c r="A14" s="7"/>
      <c r="B14" s="111">
        <v>18</v>
      </c>
      <c r="C14" s="112">
        <v>0.8958600000000001</v>
      </c>
      <c r="D14" s="112">
        <v>1.0432800000000002</v>
      </c>
    </row>
    <row r="15" spans="1:4" ht="14.5">
      <c r="A15" s="7"/>
      <c r="B15" s="111">
        <v>19</v>
      </c>
      <c r="C15" s="112">
        <v>0.8958600000000001</v>
      </c>
      <c r="D15" s="112">
        <v>1.0659600000000002</v>
      </c>
    </row>
    <row r="16" spans="1:4" ht="14.5">
      <c r="A16" s="7"/>
      <c r="B16" s="111">
        <v>20</v>
      </c>
      <c r="C16" s="112">
        <v>0.8958600000000001</v>
      </c>
      <c r="D16" s="112">
        <v>1.0886400000000001</v>
      </c>
    </row>
    <row r="17" spans="1:4" ht="14.5">
      <c r="A17" s="7"/>
      <c r="B17" s="111">
        <v>21</v>
      </c>
      <c r="C17" s="112">
        <v>0.86184000000000016</v>
      </c>
      <c r="D17" s="112">
        <v>1.0999800000000002</v>
      </c>
    </row>
    <row r="18" spans="1:4" ht="14.5">
      <c r="A18" s="7"/>
      <c r="B18" s="111">
        <v>22</v>
      </c>
      <c r="C18" s="112">
        <v>0.79380000000000006</v>
      </c>
      <c r="D18" s="112">
        <v>1.0999800000000002</v>
      </c>
    </row>
    <row r="19" spans="1:4" ht="14.5">
      <c r="A19" s="7"/>
      <c r="B19" s="111">
        <v>23</v>
      </c>
      <c r="C19" s="112">
        <v>0.74844000000000011</v>
      </c>
      <c r="D19" s="112">
        <v>1.0999800000000002</v>
      </c>
    </row>
    <row r="20" spans="1:4" ht="14.5">
      <c r="A20" s="7"/>
      <c r="B20" s="111">
        <v>24</v>
      </c>
      <c r="C20" s="112">
        <v>0.70308000000000015</v>
      </c>
      <c r="D20" s="112">
        <v>1.1226600000000002</v>
      </c>
    </row>
    <row r="21" spans="1:4" ht="14.5">
      <c r="A21" s="7"/>
      <c r="B21" s="111">
        <v>25</v>
      </c>
      <c r="C21" s="112">
        <v>0.6804</v>
      </c>
      <c r="D21" s="112">
        <v>1.1226600000000002</v>
      </c>
    </row>
    <row r="22" spans="1:4" ht="14.5">
      <c r="A22" s="7"/>
      <c r="B22" s="111">
        <v>26</v>
      </c>
      <c r="C22" s="112">
        <v>0.65771999999999997</v>
      </c>
      <c r="D22" s="112">
        <v>1.1907000000000001</v>
      </c>
    </row>
    <row r="23" spans="1:4" ht="14.5">
      <c r="A23" s="7"/>
      <c r="B23" s="111">
        <v>27</v>
      </c>
      <c r="C23" s="112">
        <v>0.63504000000000016</v>
      </c>
      <c r="D23" s="112">
        <v>1.2360600000000004</v>
      </c>
    </row>
    <row r="24" spans="1:4" ht="14.5">
      <c r="A24" s="7"/>
      <c r="B24" s="111">
        <v>28</v>
      </c>
      <c r="C24" s="112">
        <v>0.63504000000000016</v>
      </c>
      <c r="D24" s="112">
        <v>1.28142</v>
      </c>
    </row>
    <row r="25" spans="1:4" ht="14.5">
      <c r="A25" s="7"/>
      <c r="B25" s="111">
        <v>29</v>
      </c>
      <c r="C25" s="112">
        <v>0.63504000000000016</v>
      </c>
      <c r="D25" s="112">
        <v>1.3267800000000001</v>
      </c>
    </row>
    <row r="26" spans="1:4" ht="14.5">
      <c r="A26" s="7"/>
      <c r="B26" s="111">
        <v>30</v>
      </c>
      <c r="C26" s="112">
        <v>0.63504000000000016</v>
      </c>
      <c r="D26" s="112">
        <v>1.3721399999999999</v>
      </c>
    </row>
    <row r="27" spans="1:4" ht="14.5">
      <c r="A27" s="7"/>
      <c r="B27" s="111">
        <v>31</v>
      </c>
      <c r="C27" s="112">
        <v>0.66905999999999999</v>
      </c>
      <c r="D27" s="112">
        <v>1.3948200000000002</v>
      </c>
    </row>
    <row r="28" spans="1:4" ht="14.5">
      <c r="A28" s="7"/>
      <c r="B28" s="111">
        <v>32</v>
      </c>
      <c r="C28" s="112">
        <v>0.6804</v>
      </c>
      <c r="D28" s="112">
        <v>1.4401800000000002</v>
      </c>
    </row>
    <row r="29" spans="1:4" ht="14.5">
      <c r="A29" s="7"/>
      <c r="B29" s="111">
        <v>33</v>
      </c>
      <c r="C29" s="112">
        <v>0.70308000000000015</v>
      </c>
      <c r="D29" s="112">
        <v>1.4968800000000002</v>
      </c>
    </row>
    <row r="30" spans="1:4" ht="14.5">
      <c r="A30" s="7"/>
      <c r="B30" s="111">
        <v>34</v>
      </c>
      <c r="C30" s="112">
        <v>0.74844000000000011</v>
      </c>
      <c r="D30" s="112">
        <v>1.5762600000000002</v>
      </c>
    </row>
    <row r="31" spans="1:4" ht="14.5">
      <c r="A31" s="7"/>
      <c r="B31" s="111">
        <v>35</v>
      </c>
      <c r="C31" s="112">
        <v>0.78246000000000004</v>
      </c>
      <c r="D31" s="112">
        <v>1.65564</v>
      </c>
    </row>
    <row r="32" spans="1:4" ht="14.5">
      <c r="A32" s="7"/>
      <c r="B32" s="111">
        <v>36</v>
      </c>
      <c r="C32" s="112">
        <v>0.82782</v>
      </c>
      <c r="D32" s="112">
        <v>1.7577000000000003</v>
      </c>
    </row>
    <row r="33" spans="1:4" ht="14.5">
      <c r="A33" s="7"/>
      <c r="B33" s="111">
        <v>37</v>
      </c>
      <c r="C33" s="112">
        <v>0.8958600000000001</v>
      </c>
      <c r="D33" s="112">
        <v>1.8937800000000002</v>
      </c>
    </row>
    <row r="34" spans="1:4" ht="14.5">
      <c r="A34" s="7"/>
      <c r="B34" s="111">
        <v>38</v>
      </c>
      <c r="C34" s="112">
        <v>0.95256000000000007</v>
      </c>
      <c r="D34" s="112">
        <v>2.0298600000000002</v>
      </c>
    </row>
    <row r="35" spans="1:4" ht="14.5">
      <c r="A35" s="7"/>
      <c r="B35" s="111">
        <v>39</v>
      </c>
      <c r="C35" s="112">
        <v>1.0206000000000002</v>
      </c>
      <c r="D35" s="112">
        <v>2.1999600000000004</v>
      </c>
    </row>
    <row r="36" spans="1:4" ht="14.5">
      <c r="A36" s="7"/>
      <c r="B36" s="111">
        <v>40</v>
      </c>
      <c r="C36" s="112">
        <v>1.1226600000000002</v>
      </c>
      <c r="D36" s="112">
        <v>2.4154200000000001</v>
      </c>
    </row>
    <row r="37" spans="1:4" ht="14.5">
      <c r="A37" s="7"/>
      <c r="B37" s="111">
        <v>41</v>
      </c>
      <c r="C37" s="112">
        <v>1.2247200000000003</v>
      </c>
      <c r="D37" s="112">
        <v>2.6308799999999999</v>
      </c>
    </row>
    <row r="38" spans="1:4" ht="14.5">
      <c r="A38" s="7"/>
      <c r="B38" s="111">
        <v>42</v>
      </c>
      <c r="C38" s="112">
        <v>1.3494600000000001</v>
      </c>
      <c r="D38" s="112">
        <v>2.8917000000000002</v>
      </c>
    </row>
    <row r="39" spans="1:4" ht="14.5">
      <c r="A39" s="7"/>
      <c r="B39" s="111">
        <v>43</v>
      </c>
      <c r="C39" s="112">
        <v>1.4742000000000002</v>
      </c>
      <c r="D39" s="112">
        <v>3.1978800000000001</v>
      </c>
    </row>
    <row r="40" spans="1:4" ht="14.5">
      <c r="A40" s="7"/>
      <c r="B40" s="111">
        <v>44</v>
      </c>
      <c r="C40" s="112">
        <v>1.6329600000000002</v>
      </c>
      <c r="D40" s="112">
        <v>3.5267400000000002</v>
      </c>
    </row>
    <row r="41" spans="1:4" ht="14.5">
      <c r="A41" s="7"/>
      <c r="B41" s="111">
        <v>45</v>
      </c>
      <c r="C41" s="112">
        <v>1.8144000000000002</v>
      </c>
      <c r="D41" s="112">
        <v>3.9009600000000004</v>
      </c>
    </row>
    <row r="42" spans="1:4" ht="14.5">
      <c r="A42" s="7"/>
      <c r="B42" s="111">
        <v>46</v>
      </c>
      <c r="C42" s="112">
        <v>2.0298600000000002</v>
      </c>
      <c r="D42" s="112">
        <v>4.2865200000000003</v>
      </c>
    </row>
    <row r="43" spans="1:4" ht="14.5">
      <c r="A43" s="7"/>
      <c r="B43" s="111">
        <v>47</v>
      </c>
      <c r="C43" s="112">
        <v>2.2793399999999999</v>
      </c>
      <c r="D43" s="112">
        <v>4.7287800000000004</v>
      </c>
    </row>
    <row r="44" spans="1:4" ht="14.5">
      <c r="A44" s="7"/>
      <c r="B44" s="111">
        <v>48</v>
      </c>
      <c r="C44" s="112">
        <v>2.5288200000000005</v>
      </c>
      <c r="D44" s="112">
        <v>5.2050600000000005</v>
      </c>
    </row>
    <row r="45" spans="1:4" ht="14.5">
      <c r="A45" s="7"/>
      <c r="B45" s="111">
        <v>49</v>
      </c>
      <c r="C45" s="112">
        <v>2.8123200000000006</v>
      </c>
      <c r="D45" s="112">
        <v>5.7153600000000004</v>
      </c>
    </row>
    <row r="46" spans="1:4" ht="14.5">
      <c r="A46" s="7"/>
      <c r="B46" s="111">
        <v>50</v>
      </c>
      <c r="C46" s="112">
        <v>3.1525200000000004</v>
      </c>
      <c r="D46" s="112">
        <v>6.2823600000000006</v>
      </c>
    </row>
    <row r="47" spans="1:4" ht="14.5">
      <c r="A47" s="7"/>
      <c r="B47" s="111">
        <v>51</v>
      </c>
      <c r="C47" s="112">
        <v>3.5380800000000003</v>
      </c>
      <c r="D47" s="112">
        <v>6.8607000000000005</v>
      </c>
    </row>
    <row r="48" spans="1:4" ht="14.5">
      <c r="A48" s="7"/>
      <c r="B48" s="111">
        <v>52</v>
      </c>
      <c r="C48" s="112">
        <v>3.9576600000000006</v>
      </c>
      <c r="D48" s="112">
        <v>7.4844000000000008</v>
      </c>
    </row>
    <row r="49" spans="1:4" ht="14.5">
      <c r="A49" s="7"/>
      <c r="B49" s="111">
        <v>53</v>
      </c>
      <c r="C49" s="112">
        <v>4.4339400000000007</v>
      </c>
      <c r="D49" s="112">
        <v>8.1648000000000014</v>
      </c>
    </row>
    <row r="50" spans="1:4" ht="14.5">
      <c r="A50" s="7"/>
      <c r="B50" s="111">
        <v>54</v>
      </c>
      <c r="C50" s="112">
        <v>4.9669200000000009</v>
      </c>
      <c r="D50" s="112">
        <v>8.8565400000000007</v>
      </c>
    </row>
    <row r="51" spans="1:4" ht="14.5">
      <c r="A51" s="7"/>
      <c r="B51" s="111">
        <v>55</v>
      </c>
      <c r="C51" s="112">
        <v>5.5906200000000004</v>
      </c>
      <c r="D51" s="112">
        <v>9.5596200000000007</v>
      </c>
    </row>
    <row r="52" spans="1:4" ht="14.5">
      <c r="A52" s="7"/>
      <c r="B52" s="111">
        <v>56</v>
      </c>
      <c r="C52" s="112">
        <v>6.2596800000000004</v>
      </c>
      <c r="D52" s="112">
        <v>10.3194</v>
      </c>
    </row>
    <row r="53" spans="1:4" ht="14.5">
      <c r="A53" s="7"/>
      <c r="B53" s="111">
        <v>57</v>
      </c>
      <c r="C53" s="112">
        <v>7.0081200000000008</v>
      </c>
      <c r="D53" s="112">
        <v>11.10186</v>
      </c>
    </row>
    <row r="54" spans="1:4" ht="14.5">
      <c r="A54" s="7"/>
      <c r="B54" s="111">
        <v>58</v>
      </c>
      <c r="C54" s="112">
        <v>7.8246000000000011</v>
      </c>
      <c r="D54" s="112">
        <v>11.895660000000001</v>
      </c>
    </row>
    <row r="55" spans="1:4" ht="14.5">
      <c r="A55" s="7"/>
      <c r="B55" s="111">
        <v>59</v>
      </c>
      <c r="C55" s="112">
        <v>8.7431400000000004</v>
      </c>
      <c r="D55" s="112">
        <v>12.734820000000001</v>
      </c>
    </row>
    <row r="56" spans="1:4" ht="14.5">
      <c r="A56" s="7"/>
      <c r="B56" s="111">
        <v>60</v>
      </c>
      <c r="C56" s="112">
        <v>9.7524000000000015</v>
      </c>
      <c r="D56" s="112">
        <v>13.585320000000003</v>
      </c>
    </row>
    <row r="57" spans="1:4" ht="14.5">
      <c r="A57" s="7"/>
      <c r="B57" s="111">
        <v>61</v>
      </c>
      <c r="C57" s="112">
        <v>10.863720000000001</v>
      </c>
      <c r="D57" s="112">
        <v>14.447160000000002</v>
      </c>
    </row>
    <row r="58" spans="1:4" ht="14.5">
      <c r="A58" s="7"/>
      <c r="B58" s="111">
        <v>62</v>
      </c>
      <c r="C58" s="112">
        <v>12.099780000000001</v>
      </c>
      <c r="D58" s="112">
        <v>15.309000000000003</v>
      </c>
    </row>
    <row r="59" spans="1:4" ht="14.5">
      <c r="A59" s="7"/>
      <c r="B59" s="111">
        <v>63</v>
      </c>
      <c r="C59" s="112">
        <v>10.387440000000002</v>
      </c>
      <c r="D59" s="112">
        <v>16.20486</v>
      </c>
    </row>
    <row r="60" spans="1:4" ht="14.5">
      <c r="A60" s="7"/>
      <c r="B60" s="114">
        <v>64</v>
      </c>
      <c r="C60" s="115">
        <v>5.6700000000000008</v>
      </c>
      <c r="D60" s="115">
        <v>9.4122000000000021</v>
      </c>
    </row>
    <row r="61" spans="1:4">
      <c r="A61" s="7"/>
      <c r="B61" s="1"/>
      <c r="D61" s="4"/>
    </row>
    <row r="62" spans="1:4" ht="13">
      <c r="A62" s="7"/>
      <c r="B62" s="8"/>
    </row>
    <row r="63" spans="1:4" ht="13">
      <c r="A63" s="7"/>
      <c r="B63" s="7"/>
      <c r="C63" s="13"/>
      <c r="D63" s="12"/>
    </row>
    <row r="64" spans="1:4" ht="13">
      <c r="A64" s="7"/>
      <c r="B64" s="7"/>
      <c r="C64" s="13"/>
      <c r="D64" s="12"/>
    </row>
    <row r="65" spans="2:4" ht="13">
      <c r="B65" s="7"/>
      <c r="C65" s="13"/>
      <c r="D65" s="12"/>
    </row>
    <row r="66" spans="2:4" ht="13">
      <c r="B66" s="7"/>
      <c r="C66" s="13"/>
      <c r="D66" s="12"/>
    </row>
    <row r="67" spans="2:4">
      <c r="B67" s="7"/>
    </row>
  </sheetData>
  <mergeCells count="3">
    <mergeCell ref="B9:B10"/>
    <mergeCell ref="C9:C10"/>
    <mergeCell ref="D9:D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7E39-66EE-4E74-ADBE-3756E39F867E}">
  <dimension ref="B3:F16"/>
  <sheetViews>
    <sheetView topLeftCell="A2" workbookViewId="0">
      <selection activeCell="C18" sqref="C18:D18"/>
    </sheetView>
  </sheetViews>
  <sheetFormatPr defaultRowHeight="14.5"/>
  <cols>
    <col min="2" max="2" width="14.81640625" bestFit="1" customWidth="1"/>
    <col min="4" max="4" width="12.1796875" customWidth="1"/>
    <col min="5" max="5" width="12.453125" customWidth="1"/>
    <col min="6" max="6" width="12.81640625" customWidth="1"/>
  </cols>
  <sheetData>
    <row r="3" spans="2:6">
      <c r="D3" s="137" t="s">
        <v>41</v>
      </c>
      <c r="E3" s="137" t="s">
        <v>42</v>
      </c>
      <c r="F3" s="137" t="s">
        <v>35</v>
      </c>
    </row>
    <row r="4" spans="2:6">
      <c r="B4" t="s">
        <v>66</v>
      </c>
      <c r="D4" s="138" t="s">
        <v>61</v>
      </c>
      <c r="E4" s="138">
        <v>3000000</v>
      </c>
      <c r="F4" s="138">
        <v>600000</v>
      </c>
    </row>
    <row r="5" spans="2:6">
      <c r="B5" t="s">
        <v>67</v>
      </c>
      <c r="D5" s="138">
        <v>5000000</v>
      </c>
      <c r="E5" s="138">
        <v>3000000</v>
      </c>
      <c r="F5" s="138">
        <v>360000</v>
      </c>
    </row>
    <row r="6" spans="2:6">
      <c r="B6" t="s">
        <v>57</v>
      </c>
      <c r="D6" s="138" t="s">
        <v>61</v>
      </c>
      <c r="E6" s="138">
        <v>5000000</v>
      </c>
      <c r="F6" s="138">
        <v>600000</v>
      </c>
    </row>
    <row r="7" spans="2:6">
      <c r="B7" t="s">
        <v>58</v>
      </c>
      <c r="D7" s="138">
        <v>10000000</v>
      </c>
      <c r="E7" s="138">
        <v>3000000</v>
      </c>
      <c r="F7" s="138">
        <v>420000</v>
      </c>
    </row>
    <row r="8" spans="2:6">
      <c r="B8" t="s">
        <v>59</v>
      </c>
      <c r="D8" s="138" t="s">
        <v>61</v>
      </c>
      <c r="E8" s="138">
        <v>5000000</v>
      </c>
      <c r="F8" s="138">
        <v>360000</v>
      </c>
    </row>
    <row r="9" spans="2:6">
      <c r="B9" t="s">
        <v>60</v>
      </c>
      <c r="D9" s="138" t="s">
        <v>62</v>
      </c>
      <c r="E9" s="138" t="s">
        <v>62</v>
      </c>
      <c r="F9" s="138" t="s">
        <v>62</v>
      </c>
    </row>
    <row r="12" spans="2:6">
      <c r="B12" t="s">
        <v>68</v>
      </c>
    </row>
    <row r="13" spans="2:6">
      <c r="B13" t="s">
        <v>69</v>
      </c>
    </row>
    <row r="14" spans="2:6">
      <c r="B14" t="s">
        <v>70</v>
      </c>
    </row>
    <row r="15" spans="2:6">
      <c r="B15" t="s">
        <v>71</v>
      </c>
    </row>
    <row r="16" spans="2:6">
      <c r="B16" t="s">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Insurance Calculator</vt:lpstr>
      <vt:lpstr>Variables</vt:lpstr>
      <vt:lpstr>D&amp;TPD-Rates</vt:lpstr>
      <vt:lpstr>IP-rates</vt:lpstr>
      <vt:lpstr>Checklist</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2024-01-22T00:54:29Z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2023-11-05T20:29:17Z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3163b431-361a-4719-ab4f-da56fe0bfd80</vt:lpwstr>
  </property>
  <property fmtid="{D5CDD505-2E9C-101B-9397-08002B2CF9AE}" pid="9" name="MSIP_Label_152db844-6082-448e-82d8-26e01007d467_ContentBits">
    <vt:lpwstr>0</vt:lpwstr>
  </property>
</Properties>
</file>